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omm\Clients\Fleet\EO-21-04\"/>
    </mc:Choice>
  </mc:AlternateContent>
  <xr:revisionPtr revIDLastSave="0" documentId="8_{442CB790-7BCB-47FC-9307-A4B8123E530B}" xr6:coauthVersionLast="47" xr6:coauthVersionMax="47" xr10:uidLastSave="{00000000-0000-0000-0000-000000000000}"/>
  <bookViews>
    <workbookView xWindow="-110" yWindow="-110" windowWidth="22780" windowHeight="14660" xr2:uid="{C534727C-C905-4601-A8AE-1948051E8FFE}"/>
  </bookViews>
  <sheets>
    <sheet name="EVSE" sheetId="1" r:id="rId1"/>
    <sheet name="EV" sheetId="2" state="hidden" r:id="rId2"/>
    <sheet name="EV &amp; EVSE Cost Estimator OLD" sheetId="3" state="hidden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 a="1"/>
  <c r="F21" i="1" s="1"/>
  <c r="E21" i="1" a="1"/>
  <c r="E21" i="1" s="1"/>
  <c r="D21" i="1" a="1"/>
  <c r="D21" i="1" s="1"/>
  <c r="C21" i="1" a="1"/>
  <c r="C21" i="1" s="1"/>
  <c r="B21" i="1" a="1"/>
  <c r="B21" i="1" s="1"/>
  <c r="F20" i="1"/>
  <c r="E20" i="1"/>
  <c r="D20" i="1"/>
  <c r="C20" i="1"/>
  <c r="B20" i="1"/>
  <c r="F22" i="1" l="1"/>
  <c r="E22" i="1"/>
  <c r="D22" i="1"/>
  <c r="C22" i="1"/>
  <c r="B22" i="1"/>
  <c r="F26" i="1"/>
  <c r="E26" i="1"/>
  <c r="D26" i="1"/>
  <c r="C26" i="1"/>
  <c r="B26" i="1"/>
  <c r="F25" i="1"/>
  <c r="D25" i="1"/>
  <c r="C25" i="1"/>
  <c r="B25" i="1"/>
  <c r="F24" i="1"/>
  <c r="E24" i="1"/>
  <c r="E25" i="1"/>
  <c r="D24" i="1"/>
  <c r="C24" i="1"/>
  <c r="B24" i="1"/>
  <c r="F23" i="1"/>
  <c r="E23" i="1"/>
  <c r="D23" i="1"/>
  <c r="C23" i="1"/>
  <c r="B23" i="1"/>
  <c r="B11" i="1" l="1"/>
  <c r="B27" i="1" l="1"/>
  <c r="D27" i="1"/>
  <c r="C27" i="1"/>
  <c r="F27" i="1"/>
  <c r="E27" i="1"/>
  <c r="E28" i="1" l="1"/>
  <c r="I27" i="2" a="1"/>
  <c r="I27" i="2" s="1"/>
  <c r="I26" i="2" a="1"/>
  <c r="I26" i="2" s="1"/>
  <c r="I25" i="2" a="1"/>
  <c r="I25" i="2" s="1"/>
  <c r="H27" i="2" a="1"/>
  <c r="H27" i="2" s="1"/>
  <c r="L27" i="2" s="1" a="1"/>
  <c r="L27" i="2" s="1"/>
  <c r="H25" i="2" a="1"/>
  <c r="H25" i="2" s="1"/>
  <c r="H26" i="2" a="1"/>
  <c r="H26" i="2" s="1"/>
  <c r="L26" i="2" s="1" a="1"/>
  <c r="L26" i="2" s="1"/>
  <c r="G27" i="2" a="1"/>
  <c r="G27" i="2" s="1"/>
  <c r="G26" i="2" a="1"/>
  <c r="G26" i="2" s="1"/>
  <c r="G25" i="2" a="1"/>
  <c r="G25" i="2" s="1"/>
  <c r="F27" i="2" a="1"/>
  <c r="F27" i="2" s="1"/>
  <c r="F26" i="2" a="1"/>
  <c r="F26" i="2" s="1"/>
  <c r="F25" i="2" a="1"/>
  <c r="F25" i="2" s="1"/>
  <c r="L25" i="2" l="1" a="1"/>
  <c r="L25" i="2" s="1"/>
  <c r="L28" i="2" a="1"/>
  <c r="L28" i="2" s="1"/>
  <c r="E11" i="1"/>
  <c r="D11" i="1"/>
  <c r="C11" i="1"/>
  <c r="L20" i="3"/>
  <c r="H20" i="3"/>
  <c r="L19" i="3"/>
  <c r="L18" i="3"/>
  <c r="L17" i="3"/>
  <c r="E36" i="3"/>
  <c r="D36" i="3"/>
  <c r="E35" i="3"/>
  <c r="D35" i="3"/>
  <c r="E34" i="3"/>
  <c r="D34" i="3"/>
  <c r="E33" i="3"/>
  <c r="D33" i="3"/>
  <c r="E32" i="3"/>
  <c r="D32" i="3"/>
  <c r="L31" i="3"/>
  <c r="K31" i="3"/>
  <c r="J31" i="3"/>
  <c r="I31" i="3"/>
  <c r="H31" i="3"/>
  <c r="E30" i="3" a="1"/>
  <c r="E30" i="3" s="1"/>
  <c r="D30" i="3" a="1"/>
  <c r="D30" i="3" s="1"/>
  <c r="E29" i="3"/>
  <c r="D29" i="3"/>
  <c r="E27" i="3" a="1"/>
  <c r="E27" i="3" s="1"/>
  <c r="D27" i="3" a="1"/>
  <c r="D27" i="3" s="1"/>
  <c r="E26" i="3" a="1"/>
  <c r="E26" i="3" s="1"/>
  <c r="E28" i="3" s="1"/>
  <c r="E31" i="3" s="1"/>
  <c r="D26" i="3" a="1"/>
  <c r="D26" i="3" s="1"/>
  <c r="D28" i="3" s="1"/>
  <c r="D31" i="3" s="1"/>
  <c r="E15" i="3"/>
  <c r="D15" i="3"/>
  <c r="E14" i="3"/>
  <c r="D14" i="3"/>
  <c r="E13" i="3"/>
  <c r="D13" i="3"/>
  <c r="E12" i="3"/>
  <c r="D12" i="3"/>
  <c r="L11" i="3"/>
  <c r="I11" i="3"/>
  <c r="E11" i="3"/>
  <c r="D11" i="3"/>
  <c r="O10" i="3"/>
  <c r="O9" i="3"/>
  <c r="E9" i="3"/>
  <c r="D9" i="3"/>
  <c r="O8" i="3"/>
  <c r="E8" i="3"/>
  <c r="D8" i="3"/>
  <c r="O7" i="3"/>
  <c r="O6" i="3"/>
  <c r="E6" i="3"/>
  <c r="D6" i="3"/>
  <c r="O5" i="3"/>
  <c r="O11" i="3" s="1"/>
  <c r="E5" i="3"/>
  <c r="E7" i="3" s="1"/>
  <c r="D5" i="3" a="1"/>
  <c r="D5" i="3" s="1"/>
  <c r="D7" i="3" s="1"/>
  <c r="D10" i="3" s="1"/>
  <c r="E10" i="3" l="1"/>
  <c r="E17" i="3" s="1"/>
  <c r="D38" i="3"/>
  <c r="C38" i="3" s="1"/>
  <c r="E38" i="3"/>
  <c r="D17" i="3"/>
  <c r="B27" i="2" a="1"/>
  <c r="B27" i="2" s="1"/>
  <c r="B26" i="2" a="1"/>
  <c r="B26" i="2" s="1"/>
  <c r="B25" i="2" a="1"/>
  <c r="B25" i="2" s="1"/>
  <c r="C17" i="3" l="1"/>
  <c r="D28" i="2"/>
  <c r="C28" i="2"/>
  <c r="K19" i="2"/>
  <c r="L19" i="2"/>
  <c r="K26" i="2" s="1"/>
  <c r="M19" i="2"/>
  <c r="N19" i="2"/>
  <c r="K27" i="2" s="1"/>
  <c r="O19" i="2"/>
  <c r="J19" i="2"/>
  <c r="K9" i="2"/>
  <c r="L9" i="2"/>
  <c r="J26" i="2" s="1"/>
  <c r="M9" i="2"/>
  <c r="N9" i="2"/>
  <c r="J27" i="2" s="1"/>
  <c r="O9" i="2"/>
  <c r="J9" i="2"/>
  <c r="C9" i="2"/>
  <c r="D9" i="2"/>
  <c r="E9" i="2"/>
  <c r="F9" i="2"/>
  <c r="G9" i="2"/>
  <c r="B9" i="2"/>
  <c r="B19" i="2"/>
  <c r="C19" i="2"/>
  <c r="D19" i="2"/>
  <c r="E19" i="2"/>
  <c r="F19" i="2"/>
  <c r="G19" i="2"/>
  <c r="J25" i="2" l="1"/>
  <c r="K25" i="2"/>
  <c r="J28" i="2"/>
  <c r="K28" i="2"/>
  <c r="F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<sst xmlns="http://schemas.openxmlformats.org/spreadsheetml/2006/main" count="235" uniqueCount="117">
  <si>
    <t>EVSE Price Chart</t>
  </si>
  <si>
    <t>Charger Type</t>
  </si>
  <si>
    <t>L2SH Low Est</t>
  </si>
  <si>
    <t>L2SH High Est</t>
  </si>
  <si>
    <t>L2DH Low Est</t>
  </si>
  <si>
    <t>L2DH High Est</t>
  </si>
  <si>
    <t>L3 DCFC Est</t>
  </si>
  <si>
    <t>Description</t>
  </si>
  <si>
    <t>Unit Cost</t>
  </si>
  <si>
    <t>per unit</t>
  </si>
  <si>
    <t xml:space="preserve">Site Prep Cost </t>
  </si>
  <si>
    <t>20% more for any additional L2; per unit for DCFC</t>
  </si>
  <si>
    <t>On-Site Validation 
(upto 5 station within 150 ft between)</t>
  </si>
  <si>
    <t>Every five units for L2; Per 2 chargers for DCFC</t>
  </si>
  <si>
    <t>Installation</t>
  </si>
  <si>
    <t>Activation</t>
  </si>
  <si>
    <t>Cloud Service (5 years)</t>
  </si>
  <si>
    <t>Maintenance (5 Years)</t>
  </si>
  <si>
    <t>Total</t>
  </si>
  <si>
    <r>
      <rPr>
        <b/>
        <sz val="20"/>
        <color theme="0"/>
        <rFont val="Segoe UI"/>
        <family val="2"/>
      </rPr>
      <t xml:space="preserve">DES EVSE Project Cost Estimator </t>
    </r>
    <r>
      <rPr>
        <b/>
        <sz val="16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(The estimates are based on installing a ChargePoint system)</t>
    </r>
  </si>
  <si>
    <t>Location Name (optional):</t>
  </si>
  <si>
    <t xml:space="preserve">Charger Type -&gt; </t>
  </si>
  <si>
    <t>Level 2 Single Head</t>
  </si>
  <si>
    <t>Level 2 Dual Head</t>
  </si>
  <si>
    <t>Level 3 (DCFC)</t>
  </si>
  <si>
    <t xml:space="preserve">Enter number of units to Install -&gt; </t>
  </si>
  <si>
    <t xml:space="preserve">Need Site Preparation? -&gt; </t>
  </si>
  <si>
    <t>Variables</t>
  </si>
  <si>
    <t xml:space="preserve">Low Est - L2SH </t>
  </si>
  <si>
    <t>High Est - L2SH</t>
  </si>
  <si>
    <t>Low Est - L2DH</t>
  </si>
  <si>
    <t xml:space="preserve">High Est - L2DH </t>
  </si>
  <si>
    <t>Units Cost</t>
  </si>
  <si>
    <r>
      <t xml:space="preserve">On-Site Validation </t>
    </r>
    <r>
      <rPr>
        <sz val="10"/>
        <color theme="1"/>
        <rFont val="Calibri"/>
        <family val="2"/>
        <scheme val="minor"/>
      </rPr>
      <t>(up to 5 stations as a group within the 150 feet)</t>
    </r>
  </si>
  <si>
    <t>Total Cost</t>
  </si>
  <si>
    <t>Overall Estimated Cost :</t>
  </si>
  <si>
    <t>Vehicle Purchase Cost (VPC) - ICE</t>
  </si>
  <si>
    <t>Vehicle Purchase Cost (VLC) - BEV</t>
  </si>
  <si>
    <t>Class 1-2a</t>
  </si>
  <si>
    <t>Class 2b-3</t>
  </si>
  <si>
    <t>Class 4-8</t>
  </si>
  <si>
    <t>Class</t>
  </si>
  <si>
    <t>Estimate Range</t>
  </si>
  <si>
    <t>Low Estimate</t>
  </si>
  <si>
    <t>High Estimate</t>
  </si>
  <si>
    <t>Agency</t>
  </si>
  <si>
    <t>DES</t>
  </si>
  <si>
    <t>DOC</t>
  </si>
  <si>
    <t>DSHS</t>
  </si>
  <si>
    <t>WSDOT</t>
  </si>
  <si>
    <t>WSP</t>
  </si>
  <si>
    <t>Average</t>
  </si>
  <si>
    <t>Vehicle Lifetime Cost (VLC) - ICE</t>
  </si>
  <si>
    <t>Vehicle Lifetime Cost (VLC) - BEV</t>
  </si>
  <si>
    <t>Electric Vehicle Cost Estimator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</si>
  <si>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</si>
  <si>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Vehicle Class</t>
  </si>
  <si>
    <t>Cost Parity 
Year</t>
  </si>
  <si>
    <t>No of Vehicles to be Ordered</t>
  </si>
  <si>
    <t>No of Vehicles require Upfit</t>
  </si>
  <si>
    <t xml:space="preserve">Up-Fitting Cost (Each) </t>
  </si>
  <si>
    <t>Purchase Cost (Each)</t>
  </si>
  <si>
    <t>Lifetime Ownership Cost (Each)</t>
  </si>
  <si>
    <t>Total Purchase Cost</t>
  </si>
  <si>
    <t>Total Lifetime Cost</t>
  </si>
  <si>
    <t>Total Cost Difference</t>
  </si>
  <si>
    <t>Class 1 - 2a</t>
  </si>
  <si>
    <t>Class 2b - 3</t>
  </si>
  <si>
    <t>Class 4 - 8</t>
  </si>
  <si>
    <t>Total Estimated Cost</t>
  </si>
  <si>
    <t>*Up-Fittings can include Liftgates, Pursuit Gears, Prison Transport, etc; Lifetime ownership cost included maintenance and operational costs.</t>
  </si>
  <si>
    <t>EVSE Cost Calculator</t>
  </si>
  <si>
    <t>Electric Vehicle Cost Calculator</t>
  </si>
  <si>
    <t>Enter Location Name &gt;&gt;&gt;</t>
  </si>
  <si>
    <t>Body Style</t>
  </si>
  <si>
    <t>Number of Vehicles</t>
  </si>
  <si>
    <t>Vehicle Cost (Each)</t>
  </si>
  <si>
    <t>Operating Cost (Fuel / Electricity)</t>
  </si>
  <si>
    <t>No of Vehicles require 
Up-Fitting</t>
  </si>
  <si>
    <t>Maintenance Cost (Each)</t>
  </si>
  <si>
    <t>Enter/Select Values</t>
  </si>
  <si>
    <t>Station Type</t>
  </si>
  <si>
    <t>Level 3 Charger</t>
  </si>
  <si>
    <t>Sedan</t>
  </si>
  <si>
    <t>Network Type</t>
  </si>
  <si>
    <t>SUV</t>
  </si>
  <si>
    <t>Number of Stations</t>
  </si>
  <si>
    <t>Truck</t>
  </si>
  <si>
    <t>Total Charging Heads</t>
  </si>
  <si>
    <t>Van</t>
  </si>
  <si>
    <t>Location Type</t>
  </si>
  <si>
    <t>Leased</t>
  </si>
  <si>
    <t>Bus</t>
  </si>
  <si>
    <t>Electrical Capacity</t>
  </si>
  <si>
    <t>Additional capacity needed</t>
  </si>
  <si>
    <t>Other</t>
  </si>
  <si>
    <t>Signage Desired?</t>
  </si>
  <si>
    <t>Yes</t>
  </si>
  <si>
    <t>Lighting Desired</t>
  </si>
  <si>
    <t>*Up-Fittings include Liftgates, Pursuit Gears, Prison Transport, etc</t>
  </si>
  <si>
    <t>Engineering required?</t>
  </si>
  <si>
    <t>Charger Access</t>
  </si>
  <si>
    <t>d. Both a and b above</t>
  </si>
  <si>
    <t>Electric Vehicle Cost Difference Estimator</t>
  </si>
  <si>
    <t>Maintenance Service Agreement</t>
  </si>
  <si>
    <t>Cost Difference per Vehicle
(Low Estimate)</t>
  </si>
  <si>
    <t>Cost Difference per Vehicle
(High Estimate)</t>
  </si>
  <si>
    <t>Regional Hourly Labor Rate</t>
  </si>
  <si>
    <t>Class 1 - 2a (Eligible now)</t>
  </si>
  <si>
    <t>Class 2b - 3 (Eligible from 2024)</t>
  </si>
  <si>
    <t>Class 4 - 8 (Eligible from 2025)</t>
  </si>
  <si>
    <t>After 2040?</t>
  </si>
  <si>
    <t>L2S Low Est</t>
  </si>
  <si>
    <t>L2S High Est</t>
  </si>
  <si>
    <t>L2D Low Est</t>
  </si>
  <si>
    <t>L2D High Est</t>
  </si>
  <si>
    <t>Station Type ($50, $1,000, $12,500)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</si>
</sst>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Segoe UI"/>
      <family val="2"/>
    </font>
    <font>
      <b/>
      <sz val="12"/>
      <color theme="1"/>
      <name val="Segoe UI"/>
      <family val="2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5D84CB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5C4400"/>
        <bgColor indexed="64"/>
      </patternFill>
    </fill>
    <fill>
      <patternFill patternType="solid">
        <fgColor rgb="FFA87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4D65"/>
        <bgColor indexed="64"/>
      </patternFill>
    </fill>
  </fills>
  <borders count="2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39994506668294322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8" tint="-0.499984740745262"/>
      </top>
      <bottom style="thin">
        <color theme="4" tint="0.399914548173467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2" borderId="2" xfId="0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6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right"/>
    </xf>
    <xf numFmtId="164" fontId="0" fillId="2" borderId="1" xfId="0" applyNumberFormat="1" applyFont="1" applyFill="1" applyBorder="1"/>
    <xf numFmtId="0" fontId="0" fillId="0" borderId="0" xfId="0" applyAlignment="1">
      <alignment wrapText="1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2" fontId="0" fillId="0" borderId="5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7" borderId="5" xfId="0" applyFont="1" applyFill="1" applyBorder="1" applyAlignment="1">
      <alignment vertical="center"/>
    </xf>
    <xf numFmtId="0" fontId="0" fillId="7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/>
    <xf numFmtId="0" fontId="8" fillId="0" borderId="0" xfId="0" applyFont="1" applyAlignment="1"/>
    <xf numFmtId="0" fontId="0" fillId="0" borderId="5" xfId="0" applyNumberFormat="1" applyBorder="1" applyAlignment="1">
      <alignment horizontal="center" vertical="center"/>
    </xf>
    <xf numFmtId="0" fontId="9" fillId="7" borderId="5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42" fontId="9" fillId="0" borderId="5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42" fontId="0" fillId="0" borderId="0" xfId="0" applyNumberFormat="1" applyAlignment="1">
      <alignment horizontal="left" vertical="center"/>
    </xf>
    <xf numFmtId="0" fontId="3" fillId="9" borderId="9" xfId="0" applyFont="1" applyFill="1" applyBorder="1" applyAlignment="1">
      <alignment horizontal="left" vertical="center"/>
    </xf>
    <xf numFmtId="42" fontId="0" fillId="10" borderId="9" xfId="0" applyNumberFormat="1" applyFont="1" applyFill="1" applyBorder="1" applyAlignment="1">
      <alignment horizontal="left" vertical="center"/>
    </xf>
    <xf numFmtId="42" fontId="0" fillId="11" borderId="9" xfId="0" applyNumberFormat="1" applyFont="1" applyFill="1" applyBorder="1" applyAlignment="1">
      <alignment horizontal="left" vertical="center"/>
    </xf>
    <xf numFmtId="42" fontId="0" fillId="0" borderId="0" xfId="0" applyNumberFormat="1"/>
    <xf numFmtId="42" fontId="0" fillId="0" borderId="0" xfId="0" applyNumberForma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2" fontId="0" fillId="0" borderId="0" xfId="0" applyNumberFormat="1" applyAlignment="1">
      <alignment horizontal="right" wrapText="1"/>
    </xf>
    <xf numFmtId="0" fontId="0" fillId="7" borderId="9" xfId="0" applyFont="1" applyFill="1" applyBorder="1" applyAlignment="1">
      <alignment horizontal="left" vertical="center"/>
    </xf>
    <xf numFmtId="42" fontId="0" fillId="0" borderId="9" xfId="0" applyNumberFormat="1" applyFont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42" fontId="0" fillId="10" borderId="9" xfId="0" applyNumberFormat="1" applyFont="1" applyFill="1" applyBorder="1" applyAlignment="1">
      <alignment horizontal="right" vertical="center"/>
    </xf>
    <xf numFmtId="42" fontId="0" fillId="0" borderId="9" xfId="0" applyNumberFormat="1" applyFont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42" fontId="3" fillId="9" borderId="9" xfId="0" applyNumberFormat="1" applyFont="1" applyFill="1" applyBorder="1" applyAlignment="1">
      <alignment horizontal="left" vertical="center"/>
    </xf>
    <xf numFmtId="0" fontId="10" fillId="12" borderId="9" xfId="0" applyFont="1" applyFill="1" applyBorder="1" applyAlignment="1">
      <alignment horizontal="left" vertical="center"/>
    </xf>
    <xf numFmtId="42" fontId="3" fillId="12" borderId="9" xfId="0" applyNumberFormat="1" applyFont="1" applyFill="1" applyBorder="1" applyAlignment="1">
      <alignment horizontal="left" vertical="center"/>
    </xf>
    <xf numFmtId="0" fontId="3" fillId="12" borderId="9" xfId="0" applyFont="1" applyFill="1" applyBorder="1" applyAlignment="1">
      <alignment horizontal="left" vertical="center"/>
    </xf>
    <xf numFmtId="0" fontId="8" fillId="0" borderId="11" xfId="0" applyFont="1" applyBorder="1" applyAlignment="1"/>
    <xf numFmtId="0" fontId="4" fillId="0" borderId="11" xfId="0" applyFont="1" applyBorder="1" applyAlignment="1"/>
    <xf numFmtId="0" fontId="11" fillId="13" borderId="5" xfId="0" applyFont="1" applyFill="1" applyBorder="1" applyAlignment="1">
      <alignment vertical="center" wrapText="1"/>
    </xf>
    <xf numFmtId="0" fontId="5" fillId="14" borderId="7" xfId="0" applyFont="1" applyFill="1" applyBorder="1" applyAlignment="1"/>
    <xf numFmtId="0" fontId="10" fillId="15" borderId="5" xfId="0" applyFont="1" applyFill="1" applyBorder="1" applyAlignment="1">
      <alignment horizontal="left" vertical="center" wrapText="1"/>
    </xf>
    <xf numFmtId="0" fontId="10" fillId="15" borderId="5" xfId="0" applyNumberFormat="1" applyFont="1" applyFill="1" applyBorder="1" applyAlignment="1">
      <alignment vertical="center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/>
    </xf>
    <xf numFmtId="42" fontId="10" fillId="15" borderId="5" xfId="0" applyNumberFormat="1" applyFont="1" applyFill="1" applyBorder="1" applyAlignment="1">
      <alignment vertical="center"/>
    </xf>
    <xf numFmtId="42" fontId="0" fillId="16" borderId="5" xfId="0" applyNumberFormat="1" applyFill="1" applyBorder="1" applyAlignment="1">
      <alignment horizontal="center" vertical="center"/>
    </xf>
    <xf numFmtId="42" fontId="0" fillId="16" borderId="5" xfId="0" applyNumberFormat="1" applyFill="1" applyBorder="1" applyAlignment="1">
      <alignment vertical="center"/>
    </xf>
    <xf numFmtId="0" fontId="0" fillId="16" borderId="5" xfId="0" applyNumberFormat="1" applyFill="1" applyBorder="1" applyAlignment="1">
      <alignment horizontal="right" vertical="center"/>
    </xf>
    <xf numFmtId="42" fontId="10" fillId="15" borderId="5" xfId="0" applyNumberFormat="1" applyFont="1" applyFill="1" applyBorder="1" applyAlignment="1">
      <alignment horizontal="center" vertical="center"/>
    </xf>
    <xf numFmtId="0" fontId="13" fillId="14" borderId="7" xfId="0" applyFont="1" applyFill="1" applyBorder="1" applyAlignment="1"/>
    <xf numFmtId="164" fontId="2" fillId="0" borderId="5" xfId="0" applyNumberFormat="1" applyFont="1" applyBorder="1" applyAlignment="1">
      <alignment horizontal="center" vertical="center"/>
    </xf>
    <xf numFmtId="0" fontId="5" fillId="4" borderId="5" xfId="0" applyFont="1" applyFill="1" applyBorder="1" applyAlignmen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3" fillId="4" borderId="0" xfId="0" applyFont="1" applyFill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42" fontId="0" fillId="0" borderId="1" xfId="0" applyNumberFormat="1" applyBorder="1" applyAlignment="1" applyProtection="1">
      <alignment vertical="center" wrapText="1"/>
    </xf>
    <xf numFmtId="42" fontId="0" fillId="0" borderId="1" xfId="0" applyNumberFormat="1" applyBorder="1" applyAlignment="1" applyProtection="1">
      <alignment vertical="center"/>
    </xf>
    <xf numFmtId="42" fontId="0" fillId="0" borderId="18" xfId="0" applyNumberFormat="1" applyBorder="1" applyAlignment="1" applyProtection="1">
      <alignment vertical="center"/>
    </xf>
    <xf numFmtId="0" fontId="4" fillId="0" borderId="17" xfId="0" applyFont="1" applyBorder="1" applyAlignment="1" applyProtection="1">
      <alignment vertical="center" wrapText="1"/>
    </xf>
    <xf numFmtId="42" fontId="0" fillId="0" borderId="18" xfId="0" applyNumberForma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42" fontId="2" fillId="0" borderId="20" xfId="0" applyNumberFormat="1" applyFont="1" applyBorder="1" applyAlignment="1" applyProtection="1">
      <alignment horizontal="right" vertical="center" wrapText="1"/>
    </xf>
    <xf numFmtId="42" fontId="2" fillId="0" borderId="20" xfId="0" applyNumberFormat="1" applyFont="1" applyBorder="1" applyAlignment="1" applyProtection="1">
      <alignment vertical="center" wrapText="1"/>
    </xf>
    <xf numFmtId="42" fontId="2" fillId="0" borderId="20" xfId="0" applyNumberFormat="1" applyFont="1" applyBorder="1" applyAlignment="1" applyProtection="1">
      <alignment vertical="center"/>
    </xf>
    <xf numFmtId="42" fontId="2" fillId="0" borderId="21" xfId="0" applyNumberFormat="1" applyFont="1" applyBorder="1" applyAlignment="1" applyProtection="1">
      <alignment vertical="center"/>
    </xf>
    <xf numFmtId="42" fontId="0" fillId="0" borderId="20" xfId="0" applyNumberFormat="1" applyBorder="1" applyAlignment="1" applyProtection="1">
      <alignment vertical="center" wrapText="1"/>
    </xf>
    <xf numFmtId="42" fontId="0" fillId="0" borderId="0" xfId="0" applyNumberFormat="1" applyAlignment="1" applyProtection="1">
      <alignment vertical="center"/>
    </xf>
    <xf numFmtId="42" fontId="0" fillId="0" borderId="0" xfId="0" applyNumberFormat="1" applyAlignment="1" applyProtection="1">
      <alignment vertical="center" wrapText="1"/>
    </xf>
    <xf numFmtId="0" fontId="14" fillId="18" borderId="5" xfId="0" applyFont="1" applyFill="1" applyBorder="1" applyAlignment="1" applyProtection="1">
      <alignment horizontal="center" vertical="center" wrapText="1"/>
      <protection locked="0"/>
    </xf>
    <xf numFmtId="42" fontId="14" fillId="1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42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0" fillId="20" borderId="5" xfId="0" applyNumberFormat="1" applyFill="1" applyBorder="1" applyAlignment="1">
      <alignment horizontal="right" vertical="center"/>
    </xf>
    <xf numFmtId="42" fontId="0" fillId="20" borderId="5" xfId="0" applyNumberFormat="1" applyFill="1" applyBorder="1" applyAlignment="1">
      <alignment horizontal="center" vertical="center"/>
    </xf>
    <xf numFmtId="0" fontId="14" fillId="18" borderId="5" xfId="0" applyFont="1" applyFill="1" applyBorder="1" applyAlignment="1" applyProtection="1">
      <alignment horizontal="left" vertical="center" wrapText="1"/>
      <protection locked="0"/>
    </xf>
    <xf numFmtId="0" fontId="7" fillId="6" borderId="22" xfId="0" applyFont="1" applyFill="1" applyBorder="1" applyAlignment="1" applyProtection="1">
      <alignment horizontal="right" vertical="center"/>
      <protection hidden="1"/>
    </xf>
    <xf numFmtId="0" fontId="0" fillId="22" borderId="22" xfId="0" applyFont="1" applyFill="1" applyBorder="1" applyAlignment="1" applyProtection="1">
      <alignment horizontal="right" vertical="center"/>
      <protection hidden="1"/>
    </xf>
    <xf numFmtId="0" fontId="0" fillId="23" borderId="22" xfId="0" applyFont="1" applyFill="1" applyBorder="1" applyAlignment="1" applyProtection="1">
      <alignment horizontal="right" vertical="center"/>
      <protection hidden="1"/>
    </xf>
    <xf numFmtId="0" fontId="22" fillId="21" borderId="22" xfId="0" applyFont="1" applyFill="1" applyBorder="1" applyAlignment="1" applyProtection="1">
      <alignment horizontal="right" vertical="center"/>
      <protection hidden="1"/>
    </xf>
    <xf numFmtId="0" fontId="17" fillId="21" borderId="23" xfId="0" applyFont="1" applyFill="1" applyBorder="1" applyAlignment="1" applyProtection="1">
      <alignment horizontal="center" vertical="center"/>
      <protection hidden="1"/>
    </xf>
    <xf numFmtId="0" fontId="16" fillId="17" borderId="22" xfId="0" applyFont="1" applyFill="1" applyBorder="1" applyAlignment="1" applyProtection="1">
      <alignment vertical="center"/>
      <protection hidden="1"/>
    </xf>
    <xf numFmtId="42" fontId="16" fillId="17" borderId="22" xfId="0" applyNumberFormat="1" applyFont="1" applyFill="1" applyBorder="1" applyAlignment="1" applyProtection="1">
      <alignment vertical="center" wrapText="1"/>
      <protection hidden="1"/>
    </xf>
    <xf numFmtId="0" fontId="16" fillId="0" borderId="22" xfId="0" applyFont="1" applyBorder="1" applyAlignment="1" applyProtection="1">
      <alignment vertical="center"/>
      <protection hidden="1"/>
    </xf>
    <xf numFmtId="42" fontId="16" fillId="0" borderId="22" xfId="0" applyNumberFormat="1" applyFont="1" applyBorder="1" applyAlignment="1" applyProtection="1">
      <alignment vertical="center" wrapText="1"/>
      <protection hidden="1"/>
    </xf>
    <xf numFmtId="0" fontId="16" fillId="17" borderId="22" xfId="0" applyFont="1" applyFill="1" applyBorder="1" applyAlignment="1" applyProtection="1">
      <alignment vertical="center" wrapText="1"/>
      <protection hidden="1"/>
    </xf>
    <xf numFmtId="42" fontId="16" fillId="19" borderId="22" xfId="0" applyNumberFormat="1" applyFont="1" applyFill="1" applyBorder="1" applyAlignment="1" applyProtection="1">
      <alignment vertical="center" wrapText="1"/>
      <protection hidden="1"/>
    </xf>
    <xf numFmtId="0" fontId="17" fillId="7" borderId="22" xfId="0" applyFont="1" applyFill="1" applyBorder="1" applyAlignment="1" applyProtection="1">
      <alignment horizontal="right" vertical="center"/>
      <protection hidden="1"/>
    </xf>
    <xf numFmtId="42" fontId="17" fillId="7" borderId="22" xfId="0" applyNumberFormat="1" applyFont="1" applyFill="1" applyBorder="1" applyAlignment="1" applyProtection="1">
      <alignment vertical="center"/>
      <protection hidden="1"/>
    </xf>
    <xf numFmtId="0" fontId="22" fillId="21" borderId="22" xfId="0" applyFont="1" applyFill="1" applyBorder="1" applyAlignment="1" applyProtection="1">
      <alignment horizontal="center" vertical="center"/>
    </xf>
    <xf numFmtId="37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2" fontId="20" fillId="25" borderId="0" xfId="0" applyNumberFormat="1" applyFont="1" applyFill="1" applyAlignment="1" applyProtection="1">
      <alignment horizontal="left" vertical="center"/>
      <protection hidden="1"/>
    </xf>
    <xf numFmtId="0" fontId="20" fillId="25" borderId="0" xfId="0" applyFont="1" applyFill="1" applyAlignment="1" applyProtection="1">
      <alignment horizontal="left" vertical="center"/>
      <protection hidden="1"/>
    </xf>
    <xf numFmtId="0" fontId="13" fillId="25" borderId="0" xfId="0" applyFont="1" applyFill="1" applyAlignment="1" applyProtection="1">
      <alignment horizontal="center" vertical="center" wrapText="1"/>
      <protection hidden="1"/>
    </xf>
    <xf numFmtId="0" fontId="17" fillId="2" borderId="22" xfId="0" applyFont="1" applyFill="1" applyBorder="1" applyAlignment="1" applyProtection="1">
      <alignment horizontal="left" vertical="center"/>
      <protection locked="0"/>
    </xf>
    <xf numFmtId="0" fontId="22" fillId="21" borderId="22" xfId="0" applyFont="1" applyFill="1" applyBorder="1" applyAlignment="1" applyProtection="1">
      <alignment horizontal="center" vertical="center"/>
    </xf>
    <xf numFmtId="37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25" borderId="0" xfId="0" applyFont="1" applyFill="1" applyAlignment="1" applyProtection="1">
      <alignment horizontal="right" vertical="center"/>
      <protection hidden="1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4" fillId="5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8"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0"/>
    </dxf>
    <dxf>
      <numFmt numFmtId="32" formatCode="_(&quot;$&quot;* #,##0_);_(&quot;$&quot;* \(#,##0\);_(&quot;$&quot;* &quot;-&quot;_);_(@_)"/>
      <alignment vertical="center" textRotation="0" indent="0" justifyLastLine="0" shrinkToFit="0" readingOrder="0"/>
      <border diagonalUp="0" diagonalDown="0" outline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</border>
      <protection locked="1" hidden="0"/>
    </dxf>
    <dxf>
      <numFmt numFmtId="32" formatCode="_(&quot;$&quot;* #,##0_);_(&quot;$&quot;* \(#,##0\);_(&quot;$&quot;* &quot;-&quot;_);_(@_)"/>
      <alignment vertical="center" textRotation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0"/>
    </dxf>
    <dxf>
      <numFmt numFmtId="32" formatCode="_(&quot;$&quot;* #,##0_);_(&quot;$&quot;* \(#,##0\);_(&quot;$&quot;* &quot;-&quot;_);_(@_)"/>
      <alignment horizontal="general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0"/>
    </dxf>
    <dxf>
      <numFmt numFmtId="32" formatCode="_(&quot;$&quot;* #,##0_);_(&quot;$&quot;* \(#,##0\);_(&quot;$&quot;* &quot;-&quot;_);_(@_)"/>
      <alignment horizontal="general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0"/>
    </dxf>
    <dxf>
      <numFmt numFmtId="32" formatCode="_(&quot;$&quot;* #,##0_);_(&quot;$&quot;* \(#,##0\);_(&quot;$&quot;* &quot;-&quot;_);_(@_)"/>
      <alignment horizontal="general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0"/>
    </dxf>
    <dxf>
      <alignment vertical="center" textRotation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0"/>
    </dxf>
    <dxf>
      <border>
        <top style="thin">
          <color theme="4" tint="0.39994506668294322"/>
        </top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alignment vertical="center" textRotation="0" indent="0" justifyLastLine="0" shrinkToFit="0" readingOrder="0"/>
      <protection locked="1" hidden="0"/>
    </dxf>
    <dxf>
      <border>
        <bottom style="thin">
          <color theme="4" tint="0.39994506668294322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7C0DD"/>
      <color rgb="FF1D4D65"/>
      <color rgb="FF1C4866"/>
      <color rgb="FF1B4367"/>
      <color rgb="FF122D46"/>
      <color rgb="FF144244"/>
      <color rgb="FFECF5E7"/>
      <color rgb="FFA87C00"/>
      <color rgb="FF5C4400"/>
      <color rgb="FF966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22" fmlaLink="$B$17" max="80" page="10" val="0"/>
</file>

<file path=xl/ctrlProps/ctrlProp2.xml><?xml version="1.0" encoding="utf-8"?>
<formControlPr xmlns="http://schemas.microsoft.com/office/spreadsheetml/2009/9/main" objectType="Spin" dx="22" fmlaLink="$D$17" max="40" page="10" val="0"/>
</file>

<file path=xl/ctrlProps/ctrlProp3.xml><?xml version="1.0" encoding="utf-8"?>
<formControlPr xmlns="http://schemas.microsoft.com/office/spreadsheetml/2009/9/main" objectType="Spin" dx="22" fmlaLink="$F$17" max="20" page="10" val="2"/>
</file>

<file path=xl/ctrlProps/ctrlProp4.xml><?xml version="1.0" encoding="utf-8"?>
<formControlPr xmlns="http://schemas.microsoft.com/office/spreadsheetml/2009/9/main" objectType="Radio" checked="Checked" firstButton="1" fmlaLink="$B$18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checked="Checked" firstButton="1" fmlaLink="$D$18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checked="Checked" firstButton="1" fmlaLink="$F$18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16</xdr:row>
          <xdr:rowOff>25400</xdr:rowOff>
        </xdr:from>
        <xdr:to>
          <xdr:col>2</xdr:col>
          <xdr:colOff>1104900</xdr:colOff>
          <xdr:row>16</xdr:row>
          <xdr:rowOff>368300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16</xdr:row>
          <xdr:rowOff>25400</xdr:rowOff>
        </xdr:from>
        <xdr:to>
          <xdr:col>4</xdr:col>
          <xdr:colOff>1104900</xdr:colOff>
          <xdr:row>16</xdr:row>
          <xdr:rowOff>368300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901700</xdr:colOff>
          <xdr:row>16</xdr:row>
          <xdr:rowOff>25400</xdr:rowOff>
        </xdr:from>
        <xdr:to>
          <xdr:col>5</xdr:col>
          <xdr:colOff>1244600</xdr:colOff>
          <xdr:row>16</xdr:row>
          <xdr:rowOff>368300</xdr:rowOff>
        </xdr:to>
        <xdr:sp macro="" textlink="">
          <xdr:nvSpPr>
            <xdr:cNvPr id="1033" name="Spinn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17</xdr:row>
          <xdr:rowOff>88900</xdr:rowOff>
        </xdr:from>
        <xdr:to>
          <xdr:col>1</xdr:col>
          <xdr:colOff>755650</xdr:colOff>
          <xdr:row>17</xdr:row>
          <xdr:rowOff>279400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17</xdr:row>
          <xdr:rowOff>88900</xdr:rowOff>
        </xdr:from>
        <xdr:to>
          <xdr:col>2</xdr:col>
          <xdr:colOff>533400</xdr:colOff>
          <xdr:row>17</xdr:row>
          <xdr:rowOff>292100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17</xdr:row>
          <xdr:rowOff>69850</xdr:rowOff>
        </xdr:from>
        <xdr:to>
          <xdr:col>2</xdr:col>
          <xdr:colOff>711200</xdr:colOff>
          <xdr:row>17</xdr:row>
          <xdr:rowOff>317500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17</xdr:row>
          <xdr:rowOff>88900</xdr:rowOff>
        </xdr:from>
        <xdr:to>
          <xdr:col>3</xdr:col>
          <xdr:colOff>812800</xdr:colOff>
          <xdr:row>17</xdr:row>
          <xdr:rowOff>298450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17</xdr:row>
          <xdr:rowOff>88900</xdr:rowOff>
        </xdr:from>
        <xdr:to>
          <xdr:col>4</xdr:col>
          <xdr:colOff>609600</xdr:colOff>
          <xdr:row>17</xdr:row>
          <xdr:rowOff>292100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17</xdr:row>
          <xdr:rowOff>76200</xdr:rowOff>
        </xdr:from>
        <xdr:to>
          <xdr:col>4</xdr:col>
          <xdr:colOff>711200</xdr:colOff>
          <xdr:row>17</xdr:row>
          <xdr:rowOff>330200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107950</xdr:rowOff>
        </xdr:from>
        <xdr:to>
          <xdr:col>5</xdr:col>
          <xdr:colOff>419100</xdr:colOff>
          <xdr:row>17</xdr:row>
          <xdr:rowOff>336550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17</xdr:row>
          <xdr:rowOff>114300</xdr:rowOff>
        </xdr:from>
        <xdr:to>
          <xdr:col>5</xdr:col>
          <xdr:colOff>977900</xdr:colOff>
          <xdr:row>17</xdr:row>
          <xdr:rowOff>304800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17</xdr:row>
          <xdr:rowOff>76200</xdr:rowOff>
        </xdr:from>
        <xdr:to>
          <xdr:col>5</xdr:col>
          <xdr:colOff>984250</xdr:colOff>
          <xdr:row>17</xdr:row>
          <xdr:rowOff>336550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1619250</xdr:colOff>
      <xdr:row>33</xdr:row>
      <xdr:rowOff>76200</xdr:rowOff>
    </xdr:from>
    <xdr:to>
      <xdr:col>11</xdr:col>
      <xdr:colOff>962025</xdr:colOff>
      <xdr:row>50</xdr:row>
      <xdr:rowOff>28176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5" y="8048625"/>
          <a:ext cx="5581650" cy="31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BF535A-E63A-483B-B44E-B2993373C300}" name="Table1" displayName="Table1" ref="A3:G11" totalsRowShown="0" headerRowDxfId="17" dataDxfId="15" headerRowBorderDxfId="16" tableBorderDxfId="14" totalsRowBorderDxfId="13">
  <autoFilter ref="A3:G11" xr:uid="{4CBF535A-E63A-483B-B44E-B2993373C300}"/>
  <tableColumns count="7">
    <tableColumn id="1" xr3:uid="{3CA6092A-C0AD-4D9E-A467-689B3D9F47A1}" name="Charger Type" dataDxfId="12"/>
    <tableColumn id="2" xr3:uid="{82BEA419-32A3-48BA-9A1F-FCC1AB4DDBF4}" name="L2SH Low Est" dataDxfId="11"/>
    <tableColumn id="3" xr3:uid="{ABB76978-E700-4859-AEAE-DD20217EF487}" name="L2SH High Est" dataDxfId="10"/>
    <tableColumn id="4" xr3:uid="{0C6BD3C2-6906-4025-ABCC-B75EF441F0A5}" name="L2DH Low Est" dataDxfId="9"/>
    <tableColumn id="5" xr3:uid="{F645259D-87A8-4A03-AF37-C464D27CDA63}" name="L2DH High Est" dataDxfId="8"/>
    <tableColumn id="6" xr3:uid="{710C4C23-9298-42B4-B97A-17C33035CC49}" name="L3 DCFC Est" dataDxfId="7"/>
    <tableColumn id="7" xr3:uid="{B163EF35-9AF9-45AB-BAD7-65B759241A5F}" name="Descriptio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85D8D3-B217-4549-9183-D9502A69C726}" name="Table13" displayName="Table13" ref="G23:L31" totalsRowShown="0" headerRowDxfId="5">
  <autoFilter ref="G23:L31" xr:uid="{4CBF535A-E63A-483B-B44E-B2993373C300}"/>
  <tableColumns count="6">
    <tableColumn id="1" xr3:uid="{C7D13066-37D7-4662-B2EB-0F9A31ADA4A8}" name="Charger Type"/>
    <tableColumn id="2" xr3:uid="{384CC2BA-A0B0-46D1-BBEE-A86D25999DD9}" name="L2S Low Est" dataDxfId="4"/>
    <tableColumn id="3" xr3:uid="{D24332BB-1FDB-45F8-85FB-7AB48685D556}" name="L2S High Est" dataDxfId="3"/>
    <tableColumn id="4" xr3:uid="{C2B7C69B-E6FE-4E83-A400-9DECBF9E9F7D}" name="L2D Low Est" dataDxfId="2"/>
    <tableColumn id="5" xr3:uid="{641C9B2F-C694-4DA1-9745-05DD1E1815A4}" name="L2D High Est" dataDxfId="1"/>
    <tableColumn id="6" xr3:uid="{B3EC3375-1375-4040-BA9F-9E6C6C9A6DF5}" name="L3 DCFC Es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D125-24FE-4531-B89F-AD2A1B65A6B2}">
  <dimension ref="A1:I56"/>
  <sheetViews>
    <sheetView showGridLines="0" tabSelected="1" topLeftCell="A14" zoomScaleNormal="100" workbookViewId="0">
      <selection activeCell="B15" sqref="B15:F15"/>
    </sheetView>
  </sheetViews>
  <sheetFormatPr defaultColWidth="9.08984375" defaultRowHeight="14.5" x14ac:dyDescent="0.35"/>
  <cols>
    <col min="1" max="1" width="35.6328125" style="68" customWidth="1"/>
    <col min="2" max="2" width="16.6328125" style="68" customWidth="1"/>
    <col min="3" max="5" width="16.6328125" style="67" customWidth="1"/>
    <col min="6" max="6" width="18.6328125" style="67" customWidth="1"/>
    <col min="7" max="7" width="43.90625" style="67" customWidth="1"/>
    <col min="8" max="8" width="17.6328125" style="67" customWidth="1"/>
    <col min="9" max="11" width="16.36328125" style="67" customWidth="1"/>
    <col min="12" max="12" width="15.54296875" style="67" customWidth="1"/>
    <col min="13" max="13" width="13.36328125" style="67" customWidth="1"/>
    <col min="14" max="16384" width="9.08984375" style="67"/>
  </cols>
  <sheetData>
    <row r="1" spans="1:7" hidden="1" x14ac:dyDescent="0.35"/>
    <row r="2" spans="1:7" ht="18" hidden="1" customHeight="1" x14ac:dyDescent="0.35">
      <c r="A2" s="69" t="s">
        <v>0</v>
      </c>
      <c r="B2" s="69"/>
      <c r="C2" s="69"/>
      <c r="D2" s="69"/>
      <c r="E2" s="69"/>
      <c r="F2" s="69"/>
      <c r="G2" s="69"/>
    </row>
    <row r="3" spans="1:7" ht="15.9" hidden="1" customHeight="1" x14ac:dyDescent="0.3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6</v>
      </c>
      <c r="G3" s="71" t="s">
        <v>7</v>
      </c>
    </row>
    <row r="4" spans="1:7" ht="15.9" hidden="1" customHeight="1" x14ac:dyDescent="0.35">
      <c r="A4" s="73" t="s">
        <v>8</v>
      </c>
      <c r="B4" s="74">
        <v>4153</v>
      </c>
      <c r="C4" s="75">
        <v>6306</v>
      </c>
      <c r="D4" s="75">
        <v>4853</v>
      </c>
      <c r="E4" s="75">
        <v>9134</v>
      </c>
      <c r="F4" s="76">
        <v>57369</v>
      </c>
      <c r="G4" s="67" t="s">
        <v>9</v>
      </c>
    </row>
    <row r="5" spans="1:7" ht="15.9" hidden="1" customHeight="1" x14ac:dyDescent="0.35">
      <c r="A5" s="73" t="s">
        <v>10</v>
      </c>
      <c r="B5" s="74">
        <v>1579</v>
      </c>
      <c r="C5" s="74">
        <v>1579</v>
      </c>
      <c r="D5" s="74">
        <v>8224</v>
      </c>
      <c r="E5" s="74">
        <v>8224</v>
      </c>
      <c r="F5" s="76">
        <v>96188</v>
      </c>
      <c r="G5" s="67" t="s">
        <v>11</v>
      </c>
    </row>
    <row r="6" spans="1:7" ht="26.25" hidden="1" customHeight="1" x14ac:dyDescent="0.35">
      <c r="A6" s="77" t="s">
        <v>12</v>
      </c>
      <c r="B6" s="74">
        <v>630</v>
      </c>
      <c r="C6" s="74">
        <v>630</v>
      </c>
      <c r="D6" s="74">
        <v>630</v>
      </c>
      <c r="E6" s="74">
        <v>630</v>
      </c>
      <c r="F6" s="76">
        <v>950</v>
      </c>
      <c r="G6" s="67" t="s">
        <v>13</v>
      </c>
    </row>
    <row r="7" spans="1:7" ht="15.9" hidden="1" customHeight="1" x14ac:dyDescent="0.35">
      <c r="A7" s="73" t="s">
        <v>14</v>
      </c>
      <c r="B7" s="74">
        <v>650</v>
      </c>
      <c r="C7" s="74">
        <v>860</v>
      </c>
      <c r="D7" s="74">
        <v>650</v>
      </c>
      <c r="E7" s="74">
        <v>860</v>
      </c>
      <c r="F7" s="76">
        <v>4600</v>
      </c>
      <c r="G7" s="67" t="s">
        <v>9</v>
      </c>
    </row>
    <row r="8" spans="1:7" ht="15.9" hidden="1" customHeight="1" x14ac:dyDescent="0.35">
      <c r="A8" s="73" t="s">
        <v>15</v>
      </c>
      <c r="B8" s="74">
        <v>349</v>
      </c>
      <c r="C8" s="74">
        <v>349</v>
      </c>
      <c r="D8" s="74">
        <v>349</v>
      </c>
      <c r="E8" s="74">
        <v>349</v>
      </c>
      <c r="F8" s="78">
        <v>349</v>
      </c>
      <c r="G8" s="67" t="s">
        <v>9</v>
      </c>
    </row>
    <row r="9" spans="1:7" ht="15.9" hidden="1" customHeight="1" x14ac:dyDescent="0.35">
      <c r="A9" s="73" t="s">
        <v>16</v>
      </c>
      <c r="B9" s="74">
        <v>879</v>
      </c>
      <c r="C9" s="74">
        <v>2160</v>
      </c>
      <c r="D9" s="74">
        <v>879</v>
      </c>
      <c r="E9" s="74">
        <v>2160</v>
      </c>
      <c r="F9" s="76">
        <v>5400</v>
      </c>
      <c r="G9" s="67" t="s">
        <v>9</v>
      </c>
    </row>
    <row r="10" spans="1:7" ht="15.9" hidden="1" customHeight="1" x14ac:dyDescent="0.35">
      <c r="A10" s="73" t="s">
        <v>17</v>
      </c>
      <c r="B10" s="74">
        <v>675</v>
      </c>
      <c r="C10" s="74">
        <v>2620</v>
      </c>
      <c r="D10" s="74">
        <v>675</v>
      </c>
      <c r="E10" s="74">
        <v>2620</v>
      </c>
      <c r="F10" s="76">
        <v>13650</v>
      </c>
      <c r="G10" s="67" t="s">
        <v>9</v>
      </c>
    </row>
    <row r="11" spans="1:7" ht="15.9" hidden="1" customHeight="1" x14ac:dyDescent="0.35">
      <c r="A11" s="79" t="s">
        <v>18</v>
      </c>
      <c r="B11" s="80">
        <f>SUM(B4:B10)</f>
        <v>8915</v>
      </c>
      <c r="C11" s="81">
        <f>SUBTOTAL(109,C4:C10)</f>
        <v>0</v>
      </c>
      <c r="D11" s="81">
        <f>SUM(D4:D10)</f>
        <v>16260</v>
      </c>
      <c r="E11" s="82">
        <f>SUM(E4:E10)</f>
        <v>23977</v>
      </c>
      <c r="F11" s="83">
        <f>SUM(F4:F10)</f>
        <v>178506</v>
      </c>
      <c r="G11" s="84"/>
    </row>
    <row r="12" spans="1:7" ht="15.9" hidden="1" customHeight="1" x14ac:dyDescent="0.35"/>
    <row r="13" spans="1:7" ht="15.9" hidden="1" customHeight="1" x14ac:dyDescent="0.35"/>
    <row r="14" spans="1:7" ht="49.5" customHeight="1" x14ac:dyDescent="0.35">
      <c r="A14" s="115" t="s">
        <v>19</v>
      </c>
      <c r="B14" s="115"/>
      <c r="C14" s="115"/>
      <c r="D14" s="115"/>
      <c r="E14" s="115"/>
      <c r="F14" s="115"/>
    </row>
    <row r="15" spans="1:7" ht="21.9" customHeight="1" x14ac:dyDescent="0.35">
      <c r="A15" s="95" t="s">
        <v>20</v>
      </c>
      <c r="B15" s="116"/>
      <c r="C15" s="116"/>
      <c r="D15" s="116"/>
      <c r="E15" s="116"/>
      <c r="F15" s="116"/>
    </row>
    <row r="16" spans="1:7" ht="21.9" customHeight="1" x14ac:dyDescent="0.35">
      <c r="A16" s="98" t="s">
        <v>21</v>
      </c>
      <c r="B16" s="117" t="s">
        <v>22</v>
      </c>
      <c r="C16" s="117"/>
      <c r="D16" s="117" t="s">
        <v>23</v>
      </c>
      <c r="E16" s="117"/>
      <c r="F16" s="108" t="s">
        <v>24</v>
      </c>
    </row>
    <row r="17" spans="1:9" ht="30" customHeight="1" x14ac:dyDescent="0.35">
      <c r="A17" s="96" t="s">
        <v>25</v>
      </c>
      <c r="B17" s="118">
        <v>0</v>
      </c>
      <c r="C17" s="118"/>
      <c r="D17" s="118">
        <v>0</v>
      </c>
      <c r="E17" s="118"/>
      <c r="F17" s="109">
        <v>2</v>
      </c>
    </row>
    <row r="18" spans="1:9" ht="30" customHeight="1" thickBot="1" x14ac:dyDescent="0.4">
      <c r="A18" s="97" t="s">
        <v>26</v>
      </c>
      <c r="B18" s="119">
        <v>1</v>
      </c>
      <c r="C18" s="119"/>
      <c r="D18" s="119">
        <v>1</v>
      </c>
      <c r="E18" s="119"/>
      <c r="F18" s="110">
        <v>1</v>
      </c>
    </row>
    <row r="19" spans="1:9" ht="21.9" customHeight="1" thickTop="1" x14ac:dyDescent="0.35">
      <c r="A19" s="99" t="s">
        <v>27</v>
      </c>
      <c r="B19" s="99" t="s">
        <v>28</v>
      </c>
      <c r="C19" s="99" t="s">
        <v>29</v>
      </c>
      <c r="D19" s="99" t="s">
        <v>30</v>
      </c>
      <c r="E19" s="99" t="s">
        <v>31</v>
      </c>
      <c r="F19" s="99" t="s">
        <v>6</v>
      </c>
    </row>
    <row r="20" spans="1:9" ht="21.9" customHeight="1" x14ac:dyDescent="0.35">
      <c r="A20" s="100" t="s">
        <v>32</v>
      </c>
      <c r="B20" s="101">
        <f>B4*B17</f>
        <v>0</v>
      </c>
      <c r="C20" s="101">
        <f>C4*B17</f>
        <v>0</v>
      </c>
      <c r="D20" s="101">
        <f>D4*D17</f>
        <v>0</v>
      </c>
      <c r="E20" s="101">
        <f>E4*D17</f>
        <v>0</v>
      </c>
      <c r="F20" s="101">
        <f>F4*F17</f>
        <v>114738</v>
      </c>
      <c r="G20" s="85"/>
    </row>
    <row r="21" spans="1:9" ht="21.9" customHeight="1" x14ac:dyDescent="0.35">
      <c r="A21" s="102" t="s">
        <v>10</v>
      </c>
      <c r="B21" s="103" cm="1">
        <f t="array" ref="B21">IFERROR(_xlfn.IFS(B17&gt;1, _xlfn.SWITCH(B18, 1, B5+(B17-1)*(0.2*B5), 2, 0, 0), B17=1, _xlfn.SWITCH(B18, 1,  B5, 2, 0, 0)), 0)</f>
        <v>0</v>
      </c>
      <c r="C21" s="103" cm="1">
        <f t="array" ref="C21">IFERROR(_xlfn.IFS(B17&gt;1, _xlfn.SWITCH(B18, 1, C5+(B17-1)*(0.2*C5), 2, 0, 0), B17=1, _xlfn.SWITCH(B18, 1, C5, 2, 0, 0)), 0)</f>
        <v>0</v>
      </c>
      <c r="D21" s="103" cm="1">
        <f t="array" ref="D21">IFERROR(_xlfn.IFS(D17&gt;1, _xlfn.SWITCH(D18, 1, D5+(D17-1)*(0.2*D5), 2, 0, 0), D17=1, _xlfn.SWITCH(D18, 1, D5, 2, 0, 0)), 0)</f>
        <v>0</v>
      </c>
      <c r="E21" s="103" cm="1">
        <f t="array" ref="E21">IFERROR(_xlfn.IFS(D17&gt;1, _xlfn.SWITCH(D18, 1, E5+(D17-1)*(0.2*E5), 2, 0, 0), D17=1, _xlfn.SWITCH(D18, 1, E5, 2, 0, 0)), 0)</f>
        <v>0</v>
      </c>
      <c r="F21" s="103" cm="1">
        <f t="array" ref="F21">IFERROR(IF(F17&gt;0, _xlfn.SWITCH(F18, 1, F5*F17, 2, 0, 0), 0), 0)</f>
        <v>192376</v>
      </c>
    </row>
    <row r="22" spans="1:9" ht="30" customHeight="1" x14ac:dyDescent="0.35">
      <c r="A22" s="104" t="s">
        <v>33</v>
      </c>
      <c r="B22" s="101">
        <f>IF(B17&gt;0, B6*ROUNDUP(B17/5, 0), 0)</f>
        <v>0</v>
      </c>
      <c r="C22" s="101">
        <f>IF(B17&gt;0, C6*ROUNDUP(B17/5, 0), 0)</f>
        <v>0</v>
      </c>
      <c r="D22" s="101">
        <f>IF(D17&gt;0, D6*ROUNDUP(D17/5, 0), 0)</f>
        <v>0</v>
      </c>
      <c r="E22" s="101">
        <f>IF(D17&gt;0, E6*ROUNDUP(D17/5, 0), 0)</f>
        <v>0</v>
      </c>
      <c r="F22" s="101">
        <f>IF(F17&gt;0, F6*ROUNDUP(F17/2, 0), 0)</f>
        <v>950</v>
      </c>
      <c r="G22" s="85"/>
    </row>
    <row r="23" spans="1:9" ht="21.9" customHeight="1" x14ac:dyDescent="0.35">
      <c r="A23" s="102" t="s">
        <v>14</v>
      </c>
      <c r="B23" s="105">
        <f>IF(B17&gt;0, B7*B17, 0)</f>
        <v>0</v>
      </c>
      <c r="C23" s="105">
        <f>IF(B17&gt;0, C7*B17, 0)</f>
        <v>0</v>
      </c>
      <c r="D23" s="105">
        <f>IF(D17&gt;0, D7*D17, 0)</f>
        <v>0</v>
      </c>
      <c r="E23" s="105">
        <f>IF(D17&gt;0, E7*D17, 0)</f>
        <v>0</v>
      </c>
      <c r="F23" s="105">
        <f>IF(F17&gt;0, F7*F17, 0)</f>
        <v>9200</v>
      </c>
      <c r="H23" s="85"/>
      <c r="I23" s="85"/>
    </row>
    <row r="24" spans="1:9" ht="21.9" customHeight="1" x14ac:dyDescent="0.35">
      <c r="A24" s="100" t="s">
        <v>15</v>
      </c>
      <c r="B24" s="101">
        <f>IF(B17&gt;0, B8*B17, 0)</f>
        <v>0</v>
      </c>
      <c r="C24" s="101">
        <f>IF(B17&gt;0, C8*B17, 0)</f>
        <v>0</v>
      </c>
      <c r="D24" s="101">
        <f>IF(D17&gt;0, D8*D17, 0)</f>
        <v>0</v>
      </c>
      <c r="E24" s="101">
        <f>IF(D17&gt;0, E8*D17, 0)</f>
        <v>0</v>
      </c>
      <c r="F24" s="101">
        <f>IF(F17&gt;0, F8*F17, 0)</f>
        <v>698</v>
      </c>
      <c r="H24" s="85"/>
      <c r="I24" s="85"/>
    </row>
    <row r="25" spans="1:9" ht="21.9" customHeight="1" x14ac:dyDescent="0.35">
      <c r="A25" s="102" t="s">
        <v>16</v>
      </c>
      <c r="B25" s="105">
        <f>IF(B17&gt;0, B9*B17, 0)</f>
        <v>0</v>
      </c>
      <c r="C25" s="105">
        <f>IF(B17&gt;0, C9*B17, 0)</f>
        <v>0</v>
      </c>
      <c r="D25" s="105">
        <f>IF(D17&gt;0, D9*D17, 0)</f>
        <v>0</v>
      </c>
      <c r="E25" s="105">
        <f>IF(D17&gt;0, E9*D17, 0)</f>
        <v>0</v>
      </c>
      <c r="F25" s="105">
        <f>IF(F17&gt;0, F9*F17, 0)</f>
        <v>10800</v>
      </c>
      <c r="H25" s="85"/>
      <c r="I25" s="85"/>
    </row>
    <row r="26" spans="1:9" ht="21.9" customHeight="1" x14ac:dyDescent="0.35">
      <c r="A26" s="100" t="s">
        <v>17</v>
      </c>
      <c r="B26" s="101">
        <f>IF(B17&gt;0, B10*B17, 0)</f>
        <v>0</v>
      </c>
      <c r="C26" s="101">
        <f>IF(B17&gt;0, C10*B17, 0)</f>
        <v>0</v>
      </c>
      <c r="D26" s="101">
        <f>IF(D17&gt;0, D10*D17, 0)</f>
        <v>0</v>
      </c>
      <c r="E26" s="101">
        <f>IF(D17&gt;0, E10*D17, 0)</f>
        <v>0</v>
      </c>
      <c r="F26" s="101">
        <f>IF(F17&gt;0, F10*F17, 0)</f>
        <v>27300</v>
      </c>
      <c r="H26" s="85"/>
      <c r="I26" s="85"/>
    </row>
    <row r="27" spans="1:9" ht="21.9" customHeight="1" x14ac:dyDescent="0.35">
      <c r="A27" s="106" t="s">
        <v>34</v>
      </c>
      <c r="B27" s="107">
        <f>SUM(B20:B26)</f>
        <v>0</v>
      </c>
      <c r="C27" s="107">
        <f>SUM(C20:C26)</f>
        <v>0</v>
      </c>
      <c r="D27" s="107">
        <f>SUM(D20:D26)</f>
        <v>0</v>
      </c>
      <c r="E27" s="107">
        <f>SUM(E20:E26)</f>
        <v>0</v>
      </c>
      <c r="F27" s="107">
        <f>SUM(F20:F26)</f>
        <v>356062</v>
      </c>
    </row>
    <row r="28" spans="1:9" ht="24" customHeight="1" x14ac:dyDescent="0.35">
      <c r="A28" s="120" t="s">
        <v>35</v>
      </c>
      <c r="B28" s="120"/>
      <c r="C28" s="120"/>
      <c r="D28" s="120"/>
      <c r="E28" s="113" t="str">
        <f>IFERROR(IF(OR(B17&lt;&gt;0, D17&lt;&gt;0), TEXT(SUM(B27,D27,F27), "$#,##0_);($#,##0)") &amp; " -  " &amp; TEXT(SUM(C27,E27,F27), "$#,##0_);($#,##0)"),TEXT(F27, "$#,##0_);($#,##0)")), 0)</f>
        <v xml:space="preserve">$356,062 </v>
      </c>
      <c r="F28" s="114"/>
    </row>
    <row r="29" spans="1:9" ht="15.9" customHeight="1" x14ac:dyDescent="0.35"/>
    <row r="30" spans="1:9" ht="15.9" customHeight="1" x14ac:dyDescent="0.35"/>
    <row r="31" spans="1:9" ht="15.9" customHeight="1" x14ac:dyDescent="0.35"/>
    <row r="32" spans="1:9" ht="15.9" customHeight="1" x14ac:dyDescent="0.35"/>
    <row r="33" spans="1:1" ht="15.9" customHeight="1" x14ac:dyDescent="0.35"/>
    <row r="34" spans="1:1" ht="15.9" customHeight="1" x14ac:dyDescent="0.35"/>
    <row r="35" spans="1:1" ht="15.9" customHeight="1" x14ac:dyDescent="0.35"/>
    <row r="36" spans="1:1" ht="15.9" customHeight="1" x14ac:dyDescent="0.35"/>
    <row r="37" spans="1:1" ht="15.9" customHeight="1" x14ac:dyDescent="0.35"/>
    <row r="38" spans="1:1" ht="15.9" customHeight="1" x14ac:dyDescent="0.35"/>
    <row r="39" spans="1:1" ht="15.9" customHeight="1" x14ac:dyDescent="0.35"/>
    <row r="40" spans="1:1" ht="15.9" customHeight="1" x14ac:dyDescent="0.35"/>
    <row r="41" spans="1:1" ht="15.9" customHeight="1" x14ac:dyDescent="0.35"/>
    <row r="42" spans="1:1" ht="15.9" customHeight="1" x14ac:dyDescent="0.35"/>
    <row r="43" spans="1:1" ht="15.9" customHeight="1" x14ac:dyDescent="0.35"/>
    <row r="44" spans="1:1" ht="15.9" customHeight="1" x14ac:dyDescent="0.35"/>
    <row r="45" spans="1:1" ht="15.9" customHeight="1" x14ac:dyDescent="0.35"/>
    <row r="46" spans="1:1" ht="15.9" customHeight="1" x14ac:dyDescent="0.35"/>
    <row r="47" spans="1:1" ht="15.9" customHeight="1" x14ac:dyDescent="0.35"/>
    <row r="48" spans="1:1" ht="15.9" customHeight="1" x14ac:dyDescent="0.35">
      <c r="A48" s="86"/>
    </row>
    <row r="49" spans="1:7" x14ac:dyDescent="0.35">
      <c r="A49" s="86"/>
      <c r="B49" s="86"/>
      <c r="C49" s="85"/>
      <c r="D49" s="85"/>
      <c r="E49" s="85"/>
    </row>
    <row r="50" spans="1:7" x14ac:dyDescent="0.35">
      <c r="D50" s="86"/>
    </row>
    <row r="51" spans="1:7" x14ac:dyDescent="0.35">
      <c r="D51" s="86"/>
    </row>
    <row r="52" spans="1:7" x14ac:dyDescent="0.35">
      <c r="D52" s="86"/>
    </row>
    <row r="53" spans="1:7" x14ac:dyDescent="0.35">
      <c r="D53" s="86"/>
    </row>
    <row r="54" spans="1:7" x14ac:dyDescent="0.35">
      <c r="D54" s="86"/>
    </row>
    <row r="55" spans="1:7" x14ac:dyDescent="0.35">
      <c r="D55" s="86"/>
    </row>
    <row r="56" spans="1:7" x14ac:dyDescent="0.35">
      <c r="D56" s="86"/>
      <c r="E56" s="85"/>
      <c r="F56" s="85"/>
      <c r="G56" s="85"/>
    </row>
  </sheetData>
  <sheetProtection algorithmName="SHA-512" hashValue="Oe9BXww9yH/Wci0JktChN2vv4gfqEcVcwCcoh/HjYaUvDtmQYSTw7yIyiFBHB3IxBQTGiWDTDoerEZBunItlmA==" saltValue="Dk6YN+74QdIRq1HubydT+g==" spinCount="100000" sheet="1" objects="1" scenarios="1"/>
  <mergeCells count="10">
    <mergeCell ref="E28:F28"/>
    <mergeCell ref="A14:F14"/>
    <mergeCell ref="B15:F15"/>
    <mergeCell ref="B16:C16"/>
    <mergeCell ref="D16:E16"/>
    <mergeCell ref="B17:C17"/>
    <mergeCell ref="D17:E17"/>
    <mergeCell ref="B18:C18"/>
    <mergeCell ref="D18:E18"/>
    <mergeCell ref="A28:D28"/>
  </mergeCells>
  <dataValidations xWindow="740" yWindow="482" count="3">
    <dataValidation type="whole" allowBlank="1" showInputMessage="1" showErrorMessage="1" errorTitle="Total L2 Singlehead Charger:" error="Please enter a quantity from 0 to 80" prompt="Enter a quantity from 0 to 80." sqref="B17:C17" xr:uid="{A74C4EC2-31CA-484B-AD39-C84C9CE9FFD8}">
      <formula1>0</formula1>
      <formula2>75</formula2>
    </dataValidation>
    <dataValidation type="whole" allowBlank="1" showInputMessage="1" showErrorMessage="1" errorTitle="Total L2 Dualhead Chargers:" error="Please enter a quantity from 0 to 40" prompt="Enter a quantity from 0 to 40." sqref="D17:E17" xr:uid="{B583A045-2157-4B2B-8B8A-ADC8BFBA8BA2}">
      <formula1>0</formula1>
      <formula2>40</formula2>
    </dataValidation>
    <dataValidation type="whole" allowBlank="1" showInputMessage="1" showErrorMessage="1" errorTitle="Total L3 (DCFC) Chargers:" error="Please enter a quantity from 0 to 20" prompt="Enter a quantity from 0 to 20." sqref="F17" xr:uid="{66BDEC82-CDD9-466B-97AC-89966108BFE0}">
      <formula1>0</formula1>
      <formula2>20</formula2>
    </dataValidation>
  </dataValidations>
  <pageMargins left="0.7" right="0.7" top="0.75" bottom="0.75" header="0.3" footer="0.3"/>
  <pageSetup orientation="portrait" r:id="rId1"/>
  <ignoredErrors>
    <ignoredError sqref="C20 C23:C24 D23:D24 E23:E26 C25:C26 D25:D26 C22 D21:D22 D20:E2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Spinner 7">
              <controlPr defaultSize="0" autoPict="0">
                <anchor moveWithCells="1">
                  <from>
                    <xdr:col>2</xdr:col>
                    <xdr:colOff>762000</xdr:colOff>
                    <xdr:row>16</xdr:row>
                    <xdr:rowOff>25400</xdr:rowOff>
                  </from>
                  <to>
                    <xdr:col>2</xdr:col>
                    <xdr:colOff>1104900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Spinner 8">
              <controlPr defaultSize="0" autoPict="0">
                <anchor moveWithCells="1">
                  <from>
                    <xdr:col>4</xdr:col>
                    <xdr:colOff>762000</xdr:colOff>
                    <xdr:row>16</xdr:row>
                    <xdr:rowOff>25400</xdr:rowOff>
                  </from>
                  <to>
                    <xdr:col>4</xdr:col>
                    <xdr:colOff>1104900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Spinner 9">
              <controlPr defaultSize="0" autoPict="0">
                <anchor moveWithCells="1">
                  <from>
                    <xdr:col>5</xdr:col>
                    <xdr:colOff>901700</xdr:colOff>
                    <xdr:row>16</xdr:row>
                    <xdr:rowOff>25400</xdr:rowOff>
                  </from>
                  <to>
                    <xdr:col>5</xdr:col>
                    <xdr:colOff>1244600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1</xdr:col>
                    <xdr:colOff>342900</xdr:colOff>
                    <xdr:row>17</xdr:row>
                    <xdr:rowOff>88900</xdr:rowOff>
                  </from>
                  <to>
                    <xdr:col>1</xdr:col>
                    <xdr:colOff>755650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>
                  <from>
                    <xdr:col>2</xdr:col>
                    <xdr:colOff>165100</xdr:colOff>
                    <xdr:row>17</xdr:row>
                    <xdr:rowOff>88900</xdr:rowOff>
                  </from>
                  <to>
                    <xdr:col>2</xdr:col>
                    <xdr:colOff>533400</xdr:colOff>
                    <xdr:row>17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>
                <anchor moveWithCells="1">
                  <from>
                    <xdr:col>3</xdr:col>
                    <xdr:colOff>393700</xdr:colOff>
                    <xdr:row>17</xdr:row>
                    <xdr:rowOff>88900</xdr:rowOff>
                  </from>
                  <to>
                    <xdr:col>3</xdr:col>
                    <xdr:colOff>812800</xdr:colOff>
                    <xdr:row>17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Option Button 15">
              <controlPr defaultSize="0" autoFill="0" autoLine="0" autoPict="0">
                <anchor moveWithCells="1">
                  <from>
                    <xdr:col>4</xdr:col>
                    <xdr:colOff>215900</xdr:colOff>
                    <xdr:row>17</xdr:row>
                    <xdr:rowOff>88900</xdr:rowOff>
                  </from>
                  <to>
                    <xdr:col>4</xdr:col>
                    <xdr:colOff>609600</xdr:colOff>
                    <xdr:row>17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Option Button 1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107950</xdr:rowOff>
                  </from>
                  <to>
                    <xdr:col>5</xdr:col>
                    <xdr:colOff>419100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Option Button 17">
              <controlPr defaultSize="0" autoFill="0" autoLine="0" autoPict="0">
                <anchor moveWithCells="1">
                  <from>
                    <xdr:col>5</xdr:col>
                    <xdr:colOff>584200</xdr:colOff>
                    <xdr:row>17</xdr:row>
                    <xdr:rowOff>114300</xdr:rowOff>
                  </from>
                  <to>
                    <xdr:col>5</xdr:col>
                    <xdr:colOff>977900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Group Box 19">
              <controlPr defaultSize="0" autoFill="0" autoPict="0">
                <anchor moveWithCells="1">
                  <from>
                    <xdr:col>1</xdr:col>
                    <xdr:colOff>203200</xdr:colOff>
                    <xdr:row>17</xdr:row>
                    <xdr:rowOff>69850</xdr:rowOff>
                  </from>
                  <to>
                    <xdr:col>2</xdr:col>
                    <xdr:colOff>711200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Group Box 21">
              <controlPr defaultSize="0" autoFill="0" autoPict="0">
                <anchor moveWithCells="1">
                  <from>
                    <xdr:col>3</xdr:col>
                    <xdr:colOff>222250</xdr:colOff>
                    <xdr:row>17</xdr:row>
                    <xdr:rowOff>76200</xdr:rowOff>
                  </from>
                  <to>
                    <xdr:col>4</xdr:col>
                    <xdr:colOff>711200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Group Box 25">
              <controlPr defaultSize="0" autoFill="0" autoPict="0">
                <anchor moveWithCells="1">
                  <from>
                    <xdr:col>5</xdr:col>
                    <xdr:colOff>12700</xdr:colOff>
                    <xdr:row>17</xdr:row>
                    <xdr:rowOff>76200</xdr:rowOff>
                  </from>
                  <to>
                    <xdr:col>5</xdr:col>
                    <xdr:colOff>984250</xdr:colOff>
                    <xdr:row>17</xdr:row>
                    <xdr:rowOff>336550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5320-B912-449A-87DF-67A6392645AC}">
  <dimension ref="A1:O35"/>
  <sheetViews>
    <sheetView workbookViewId="0">
      <selection activeCell="C25" sqref="C25"/>
    </sheetView>
  </sheetViews>
  <sheetFormatPr defaultColWidth="9.08984375" defaultRowHeight="14.5" x14ac:dyDescent="0.35"/>
  <cols>
    <col min="1" max="1" width="20.453125" style="30" customWidth="1"/>
    <col min="2" max="5" width="13.54296875" style="30" customWidth="1"/>
    <col min="6" max="6" width="17.453125" style="30" customWidth="1"/>
    <col min="7" max="7" width="13.54296875" style="30" customWidth="1"/>
    <col min="8" max="8" width="16.36328125" style="30" customWidth="1"/>
    <col min="9" max="9" width="15.453125" style="30" customWidth="1"/>
    <col min="10" max="11" width="21" style="30" customWidth="1"/>
    <col min="12" max="12" width="25.6328125" style="30" customWidth="1"/>
    <col min="13" max="13" width="12.6328125" style="30" customWidth="1"/>
    <col min="14" max="14" width="19" style="30" customWidth="1"/>
    <col min="15" max="15" width="12.6328125" style="30" customWidth="1"/>
    <col min="16" max="26" width="14.08984375" style="30" customWidth="1"/>
    <col min="27" max="27" width="13.453125" style="30" customWidth="1"/>
    <col min="28" max="16384" width="9.08984375" style="30"/>
  </cols>
  <sheetData>
    <row r="1" spans="1:15" x14ac:dyDescent="0.35">
      <c r="A1" s="132" t="s">
        <v>36</v>
      </c>
      <c r="B1" s="132"/>
      <c r="C1" s="132"/>
      <c r="D1" s="132"/>
      <c r="E1" s="132"/>
      <c r="F1" s="132"/>
      <c r="G1" s="132"/>
      <c r="I1" s="132" t="s">
        <v>37</v>
      </c>
      <c r="J1" s="132"/>
      <c r="K1" s="132"/>
      <c r="L1" s="132"/>
      <c r="M1" s="132"/>
      <c r="N1" s="132"/>
      <c r="O1" s="132"/>
    </row>
    <row r="2" spans="1:15" x14ac:dyDescent="0.35">
      <c r="A2" s="46"/>
      <c r="B2" s="132" t="s">
        <v>38</v>
      </c>
      <c r="C2" s="132"/>
      <c r="D2" s="132" t="s">
        <v>39</v>
      </c>
      <c r="E2" s="132"/>
      <c r="F2" s="132" t="s">
        <v>40</v>
      </c>
      <c r="G2" s="132"/>
      <c r="I2" s="46" t="s">
        <v>41</v>
      </c>
      <c r="J2" s="132" t="s">
        <v>38</v>
      </c>
      <c r="K2" s="132"/>
      <c r="L2" s="132" t="s">
        <v>39</v>
      </c>
      <c r="M2" s="132"/>
      <c r="N2" s="132" t="s">
        <v>40</v>
      </c>
      <c r="O2" s="132"/>
    </row>
    <row r="3" spans="1:15" x14ac:dyDescent="0.35">
      <c r="A3" s="32" t="s">
        <v>42</v>
      </c>
      <c r="B3" s="32" t="s">
        <v>43</v>
      </c>
      <c r="C3" s="32" t="s">
        <v>44</v>
      </c>
      <c r="D3" s="32" t="s">
        <v>43</v>
      </c>
      <c r="E3" s="32" t="s">
        <v>44</v>
      </c>
      <c r="F3" s="32" t="s">
        <v>43</v>
      </c>
      <c r="G3" s="32" t="s">
        <v>44</v>
      </c>
      <c r="I3" s="32" t="s">
        <v>45</v>
      </c>
      <c r="J3" s="32" t="s">
        <v>43</v>
      </c>
      <c r="K3" s="32" t="s">
        <v>44</v>
      </c>
      <c r="L3" s="32" t="s">
        <v>43</v>
      </c>
      <c r="M3" s="32" t="s">
        <v>44</v>
      </c>
      <c r="N3" s="32" t="s">
        <v>43</v>
      </c>
      <c r="O3" s="32" t="s">
        <v>44</v>
      </c>
    </row>
    <row r="4" spans="1:15" x14ac:dyDescent="0.35">
      <c r="A4" s="42" t="s">
        <v>46</v>
      </c>
      <c r="B4" s="43">
        <v>27800</v>
      </c>
      <c r="C4" s="43">
        <v>33400</v>
      </c>
      <c r="D4" s="33">
        <v>32600</v>
      </c>
      <c r="E4" s="33">
        <v>38000</v>
      </c>
      <c r="F4" s="33">
        <v>28900</v>
      </c>
      <c r="G4" s="33">
        <v>206200</v>
      </c>
      <c r="H4" s="31"/>
      <c r="I4" s="42" t="s">
        <v>46</v>
      </c>
      <c r="J4" s="43">
        <v>33300</v>
      </c>
      <c r="K4" s="43">
        <v>37800</v>
      </c>
      <c r="L4" s="43">
        <v>36900</v>
      </c>
      <c r="M4" s="43">
        <v>48000</v>
      </c>
      <c r="N4" s="33">
        <v>30200</v>
      </c>
      <c r="O4" s="33">
        <v>266100</v>
      </c>
    </row>
    <row r="5" spans="1:15" x14ac:dyDescent="0.35">
      <c r="A5" s="42" t="s">
        <v>47</v>
      </c>
      <c r="B5" s="41">
        <v>30400</v>
      </c>
      <c r="C5" s="41">
        <v>34300</v>
      </c>
      <c r="D5" s="41">
        <v>32600</v>
      </c>
      <c r="E5" s="41">
        <v>37900</v>
      </c>
      <c r="F5" s="41">
        <v>147400</v>
      </c>
      <c r="G5" s="41">
        <v>200200</v>
      </c>
      <c r="H5" s="31"/>
      <c r="I5" s="42" t="s">
        <v>47</v>
      </c>
      <c r="J5" s="41">
        <v>34600</v>
      </c>
      <c r="K5" s="41">
        <v>40500</v>
      </c>
      <c r="L5" s="41">
        <v>36900</v>
      </c>
      <c r="M5" s="41">
        <v>48000</v>
      </c>
      <c r="N5" s="41">
        <v>188200</v>
      </c>
      <c r="O5" s="41">
        <v>252600</v>
      </c>
    </row>
    <row r="6" spans="1:15" x14ac:dyDescent="0.35">
      <c r="A6" s="42" t="s">
        <v>48</v>
      </c>
      <c r="B6" s="33">
        <v>32000</v>
      </c>
      <c r="C6" s="33">
        <v>36700</v>
      </c>
      <c r="D6" s="33">
        <v>32600</v>
      </c>
      <c r="E6" s="33">
        <v>38500</v>
      </c>
      <c r="F6" s="33">
        <v>110400</v>
      </c>
      <c r="G6" s="33">
        <v>174300</v>
      </c>
      <c r="H6" s="31"/>
      <c r="I6" s="42" t="s">
        <v>48</v>
      </c>
      <c r="J6" s="33">
        <v>36200</v>
      </c>
      <c r="K6" s="33">
        <v>40100</v>
      </c>
      <c r="L6" s="33">
        <v>37300</v>
      </c>
      <c r="M6" s="33">
        <v>48000</v>
      </c>
      <c r="N6" s="33">
        <v>136400</v>
      </c>
      <c r="O6" s="33">
        <v>221000</v>
      </c>
    </row>
    <row r="7" spans="1:15" x14ac:dyDescent="0.35">
      <c r="A7" s="42" t="s">
        <v>49</v>
      </c>
      <c r="B7" s="44">
        <v>34100</v>
      </c>
      <c r="C7" s="44">
        <v>36100</v>
      </c>
      <c r="D7" s="41">
        <v>32600</v>
      </c>
      <c r="E7" s="41">
        <v>40500</v>
      </c>
      <c r="F7" s="41">
        <v>68600</v>
      </c>
      <c r="G7" s="41">
        <v>97200</v>
      </c>
      <c r="H7" s="31"/>
      <c r="I7" s="42" t="s">
        <v>49</v>
      </c>
      <c r="J7" s="44">
        <v>36100</v>
      </c>
      <c r="K7" s="44">
        <v>41600</v>
      </c>
      <c r="L7" s="44">
        <v>40000</v>
      </c>
      <c r="M7" s="44">
        <v>48000</v>
      </c>
      <c r="N7" s="41">
        <v>76300</v>
      </c>
      <c r="O7" s="41">
        <v>119100</v>
      </c>
    </row>
    <row r="8" spans="1:15" x14ac:dyDescent="0.35">
      <c r="A8" s="42" t="s">
        <v>50</v>
      </c>
      <c r="B8" s="33">
        <v>27500</v>
      </c>
      <c r="C8" s="33">
        <v>45200</v>
      </c>
      <c r="D8" s="33">
        <v>36300</v>
      </c>
      <c r="E8" s="33">
        <v>39600</v>
      </c>
      <c r="F8" s="33">
        <v>56300</v>
      </c>
      <c r="G8" s="33">
        <v>208300</v>
      </c>
      <c r="H8" s="31"/>
      <c r="I8" s="42" t="s">
        <v>50</v>
      </c>
      <c r="J8" s="33">
        <v>33500</v>
      </c>
      <c r="K8" s="33">
        <v>49200</v>
      </c>
      <c r="L8" s="33">
        <v>40400</v>
      </c>
      <c r="M8" s="33">
        <v>47100</v>
      </c>
      <c r="N8" s="33">
        <v>59200</v>
      </c>
      <c r="O8" s="33">
        <v>267100</v>
      </c>
    </row>
    <row r="9" spans="1:15" x14ac:dyDescent="0.35">
      <c r="A9" s="32" t="s">
        <v>51</v>
      </c>
      <c r="B9" s="47">
        <f>IFERROR(AVERAGEIF(B4:B8, "&lt;&gt;0"), "")</f>
        <v>30360</v>
      </c>
      <c r="C9" s="47">
        <f t="shared" ref="C9:G9" si="0">IFERROR(AVERAGEIF(C4:C8, "&lt;&gt;0"), "")</f>
        <v>37140</v>
      </c>
      <c r="D9" s="47">
        <f t="shared" si="0"/>
        <v>33340</v>
      </c>
      <c r="E9" s="47">
        <f t="shared" si="0"/>
        <v>38900</v>
      </c>
      <c r="F9" s="47">
        <f t="shared" si="0"/>
        <v>82320</v>
      </c>
      <c r="G9" s="47">
        <f t="shared" si="0"/>
        <v>177240</v>
      </c>
      <c r="H9" s="31"/>
      <c r="I9" s="32" t="s">
        <v>51</v>
      </c>
      <c r="J9" s="47">
        <f>IFERROR(AVERAGEIF(J4:J8, "&lt;&gt;0"), "")</f>
        <v>34740</v>
      </c>
      <c r="K9" s="47">
        <f t="shared" ref="K9:O9" si="1">IFERROR(AVERAGEIF(K4:K8, "&lt;&gt;0"), "")</f>
        <v>41840</v>
      </c>
      <c r="L9" s="47">
        <f t="shared" si="1"/>
        <v>38300</v>
      </c>
      <c r="M9" s="47">
        <f t="shared" si="1"/>
        <v>47820</v>
      </c>
      <c r="N9" s="47">
        <f t="shared" si="1"/>
        <v>98060</v>
      </c>
      <c r="O9" s="47">
        <f t="shared" si="1"/>
        <v>225180</v>
      </c>
    </row>
    <row r="10" spans="1:15" x14ac:dyDescent="0.35">
      <c r="H10" s="31"/>
      <c r="J10" s="31"/>
      <c r="K10" s="31"/>
      <c r="L10" s="31"/>
      <c r="M10" s="31"/>
      <c r="N10" s="31"/>
      <c r="O10" s="31"/>
    </row>
    <row r="11" spans="1:15" x14ac:dyDescent="0.35">
      <c r="A11" s="123" t="s">
        <v>52</v>
      </c>
      <c r="B11" s="123"/>
      <c r="C11" s="123"/>
      <c r="D11" s="123"/>
      <c r="E11" s="123"/>
      <c r="F11" s="123"/>
      <c r="G11" s="123"/>
      <c r="I11" s="123" t="s">
        <v>53</v>
      </c>
      <c r="J11" s="123"/>
      <c r="K11" s="123"/>
      <c r="L11" s="123"/>
      <c r="M11" s="123"/>
      <c r="N11" s="123"/>
      <c r="O11" s="123"/>
    </row>
    <row r="12" spans="1:15" x14ac:dyDescent="0.35">
      <c r="A12" s="45" t="s">
        <v>41</v>
      </c>
      <c r="B12" s="123" t="s">
        <v>38</v>
      </c>
      <c r="C12" s="123"/>
      <c r="D12" s="123" t="s">
        <v>39</v>
      </c>
      <c r="E12" s="123"/>
      <c r="F12" s="123" t="s">
        <v>40</v>
      </c>
      <c r="G12" s="123"/>
      <c r="I12" s="45" t="s">
        <v>41</v>
      </c>
      <c r="J12" s="123" t="s">
        <v>38</v>
      </c>
      <c r="K12" s="123"/>
      <c r="L12" s="123" t="s">
        <v>39</v>
      </c>
      <c r="M12" s="123"/>
      <c r="N12" s="123" t="s">
        <v>40</v>
      </c>
      <c r="O12" s="123"/>
    </row>
    <row r="13" spans="1:15" x14ac:dyDescent="0.35">
      <c r="A13" s="50" t="s">
        <v>42</v>
      </c>
      <c r="B13" s="50" t="s">
        <v>43</v>
      </c>
      <c r="C13" s="50" t="s">
        <v>44</v>
      </c>
      <c r="D13" s="50" t="s">
        <v>43</v>
      </c>
      <c r="E13" s="50" t="s">
        <v>44</v>
      </c>
      <c r="F13" s="50" t="s">
        <v>43</v>
      </c>
      <c r="G13" s="50" t="s">
        <v>44</v>
      </c>
      <c r="I13" s="50" t="s">
        <v>42</v>
      </c>
      <c r="J13" s="50" t="s">
        <v>43</v>
      </c>
      <c r="K13" s="50" t="s">
        <v>44</v>
      </c>
      <c r="L13" s="50" t="s">
        <v>43</v>
      </c>
      <c r="M13" s="50" t="s">
        <v>44</v>
      </c>
      <c r="N13" s="50" t="s">
        <v>43</v>
      </c>
      <c r="O13" s="50" t="s">
        <v>44</v>
      </c>
    </row>
    <row r="14" spans="1:15" x14ac:dyDescent="0.35">
      <c r="A14" s="40" t="s">
        <v>46</v>
      </c>
      <c r="B14" s="34">
        <v>44400</v>
      </c>
      <c r="C14" s="34">
        <v>51000</v>
      </c>
      <c r="D14" s="34">
        <v>45900</v>
      </c>
      <c r="E14" s="34">
        <v>52400</v>
      </c>
      <c r="F14" s="34">
        <v>142700</v>
      </c>
      <c r="G14" s="34">
        <v>371400</v>
      </c>
      <c r="H14" s="31"/>
      <c r="I14" s="40" t="s">
        <v>46</v>
      </c>
      <c r="J14" s="34">
        <v>34800</v>
      </c>
      <c r="K14" s="34">
        <v>38700</v>
      </c>
      <c r="L14" s="34">
        <v>36200</v>
      </c>
      <c r="M14" s="34">
        <v>45800</v>
      </c>
      <c r="N14" s="34">
        <v>76700</v>
      </c>
      <c r="O14" s="34">
        <v>281700</v>
      </c>
    </row>
    <row r="15" spans="1:15" x14ac:dyDescent="0.35">
      <c r="A15" s="40" t="s">
        <v>47</v>
      </c>
      <c r="B15" s="41">
        <v>80300</v>
      </c>
      <c r="C15" s="41">
        <v>102300</v>
      </c>
      <c r="D15" s="41">
        <v>82000</v>
      </c>
      <c r="E15" s="41">
        <v>95100</v>
      </c>
      <c r="F15" s="41">
        <v>607400</v>
      </c>
      <c r="G15" s="41">
        <v>680600</v>
      </c>
      <c r="H15" s="31"/>
      <c r="I15" s="40" t="s">
        <v>47</v>
      </c>
      <c r="J15" s="41">
        <v>51200</v>
      </c>
      <c r="K15" s="41">
        <v>54800</v>
      </c>
      <c r="L15" s="41">
        <v>52200</v>
      </c>
      <c r="M15" s="41">
        <v>62200</v>
      </c>
      <c r="N15" s="41">
        <v>503600</v>
      </c>
      <c r="O15" s="41">
        <v>530700</v>
      </c>
    </row>
    <row r="16" spans="1:15" x14ac:dyDescent="0.35">
      <c r="A16" s="40" t="s">
        <v>48</v>
      </c>
      <c r="B16" s="34">
        <v>62100</v>
      </c>
      <c r="C16" s="34">
        <v>73300</v>
      </c>
      <c r="D16" s="34">
        <v>67100</v>
      </c>
      <c r="E16" s="34">
        <v>74400</v>
      </c>
      <c r="F16" s="34">
        <v>534600</v>
      </c>
      <c r="G16" s="34">
        <v>562600</v>
      </c>
      <c r="H16" s="31"/>
      <c r="I16" s="40" t="s">
        <v>48</v>
      </c>
      <c r="J16" s="34">
        <v>43800</v>
      </c>
      <c r="K16" s="34">
        <v>48200</v>
      </c>
      <c r="L16" s="34">
        <v>45900</v>
      </c>
      <c r="M16" s="34">
        <v>54900</v>
      </c>
      <c r="N16" s="34">
        <v>326600</v>
      </c>
      <c r="O16" s="34">
        <v>367300</v>
      </c>
    </row>
    <row r="17" spans="1:15" x14ac:dyDescent="0.35">
      <c r="A17" s="40" t="s">
        <v>49</v>
      </c>
      <c r="B17" s="41">
        <v>66000</v>
      </c>
      <c r="C17" s="41">
        <v>75800</v>
      </c>
      <c r="D17" s="41">
        <v>104800</v>
      </c>
      <c r="E17" s="41">
        <v>121600</v>
      </c>
      <c r="F17" s="41">
        <v>180300</v>
      </c>
      <c r="G17" s="41">
        <v>241500</v>
      </c>
      <c r="H17" s="31"/>
      <c r="I17" s="40" t="s">
        <v>49</v>
      </c>
      <c r="J17" s="41">
        <v>46400</v>
      </c>
      <c r="K17" s="41">
        <v>46800</v>
      </c>
      <c r="L17" s="41">
        <v>63200</v>
      </c>
      <c r="M17" s="41">
        <v>69700</v>
      </c>
      <c r="N17" s="41">
        <v>104300</v>
      </c>
      <c r="O17" s="41">
        <v>128500</v>
      </c>
    </row>
    <row r="18" spans="1:15" x14ac:dyDescent="0.35">
      <c r="A18" s="40" t="s">
        <v>50</v>
      </c>
      <c r="B18" s="34">
        <v>55200</v>
      </c>
      <c r="C18" s="34">
        <v>72900</v>
      </c>
      <c r="D18" s="34">
        <v>52000</v>
      </c>
      <c r="E18" s="34">
        <v>60200</v>
      </c>
      <c r="F18" s="34">
        <v>116800</v>
      </c>
      <c r="G18" s="34">
        <v>434000</v>
      </c>
      <c r="H18" s="31"/>
      <c r="I18" s="40" t="s">
        <v>50</v>
      </c>
      <c r="J18" s="34">
        <v>41100</v>
      </c>
      <c r="K18" s="34">
        <v>50600</v>
      </c>
      <c r="L18" s="34">
        <v>41200</v>
      </c>
      <c r="M18" s="34">
        <v>49000</v>
      </c>
      <c r="N18" s="34">
        <v>70400</v>
      </c>
      <c r="O18" s="34">
        <v>341500</v>
      </c>
    </row>
    <row r="19" spans="1:15" x14ac:dyDescent="0.35">
      <c r="A19" s="48" t="s">
        <v>51</v>
      </c>
      <c r="B19" s="49">
        <f>IFERROR(AVERAGEIF(B14:B18, "&lt;&gt;0"), "")</f>
        <v>61600</v>
      </c>
      <c r="C19" s="49">
        <f t="shared" ref="C19:G19" si="2">IFERROR(AVERAGEIF(C14:C18, "&lt;&gt;0"), "")</f>
        <v>75060</v>
      </c>
      <c r="D19" s="49">
        <f t="shared" si="2"/>
        <v>70360</v>
      </c>
      <c r="E19" s="49">
        <f t="shared" si="2"/>
        <v>80740</v>
      </c>
      <c r="F19" s="49">
        <f t="shared" si="2"/>
        <v>316360</v>
      </c>
      <c r="G19" s="49">
        <f t="shared" si="2"/>
        <v>458020</v>
      </c>
      <c r="H19" s="31"/>
      <c r="I19" s="48" t="s">
        <v>51</v>
      </c>
      <c r="J19" s="49">
        <f>IFERROR(AVERAGEIF(J14:J18, "&lt;&gt;0"), "")</f>
        <v>43460</v>
      </c>
      <c r="K19" s="49">
        <f t="shared" ref="K19:O19" si="3">IFERROR(AVERAGEIF(K14:K18, "&lt;&gt;0"), "")</f>
        <v>47820</v>
      </c>
      <c r="L19" s="49">
        <f t="shared" si="3"/>
        <v>47740</v>
      </c>
      <c r="M19" s="49">
        <f t="shared" si="3"/>
        <v>56320</v>
      </c>
      <c r="N19" s="49">
        <f t="shared" si="3"/>
        <v>216320</v>
      </c>
      <c r="O19" s="49">
        <f t="shared" si="3"/>
        <v>329940</v>
      </c>
    </row>
    <row r="20" spans="1:15" x14ac:dyDescent="0.35">
      <c r="A20" s="131"/>
      <c r="B20" s="131"/>
      <c r="C20" s="131"/>
      <c r="D20" s="131"/>
      <c r="E20" s="131"/>
      <c r="F20" s="131"/>
      <c r="G20" s="131"/>
      <c r="H20" s="31"/>
    </row>
    <row r="21" spans="1:15" x14ac:dyDescent="0.35">
      <c r="B21" s="31"/>
      <c r="C21" s="31"/>
      <c r="D21" s="31"/>
      <c r="E21" s="31"/>
      <c r="F21" s="31"/>
      <c r="G21" s="31"/>
      <c r="H21" s="31"/>
    </row>
    <row r="22" spans="1:15" ht="21" x14ac:dyDescent="0.5">
      <c r="A22" s="64" t="s">
        <v>54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N22" s="30" t="s">
        <v>55</v>
      </c>
    </row>
    <row r="23" spans="1:15" ht="20.25" customHeight="1" x14ac:dyDescent="0.35">
      <c r="A23" s="124" t="s">
        <v>56</v>
      </c>
      <c r="B23" s="129" t="s">
        <v>57</v>
      </c>
      <c r="C23" s="125" t="s">
        <v>58</v>
      </c>
      <c r="D23" s="125" t="s">
        <v>59</v>
      </c>
      <c r="E23" s="125" t="s">
        <v>60</v>
      </c>
      <c r="F23" s="127" t="s">
        <v>61</v>
      </c>
      <c r="G23" s="128"/>
      <c r="H23" s="127" t="s">
        <v>62</v>
      </c>
      <c r="I23" s="128"/>
      <c r="J23" s="121" t="s">
        <v>63</v>
      </c>
      <c r="K23" s="126" t="s">
        <v>64</v>
      </c>
      <c r="L23" s="121" t="s">
        <v>65</v>
      </c>
    </row>
    <row r="24" spans="1:15" ht="20.25" customHeight="1" x14ac:dyDescent="0.35">
      <c r="A24" s="124"/>
      <c r="B24" s="130"/>
      <c r="C24" s="125"/>
      <c r="D24" s="125"/>
      <c r="E24" s="125"/>
      <c r="F24" s="53" t="s">
        <v>43</v>
      </c>
      <c r="G24" s="53" t="s">
        <v>44</v>
      </c>
      <c r="H24" s="53" t="s">
        <v>43</v>
      </c>
      <c r="I24" s="53" t="s">
        <v>44</v>
      </c>
      <c r="J24" s="122"/>
      <c r="K24" s="126"/>
      <c r="L24" s="122"/>
    </row>
    <row r="25" spans="1:15" x14ac:dyDescent="0.35">
      <c r="A25" s="91" t="s">
        <v>66</v>
      </c>
      <c r="B25" s="92" t="str" cm="1">
        <f t="array" ref="B25">_xlfn.SWITCH($A$25, "Class 1 - 2a", "2028",  "Class 2b - 3", "2030",  "Class 4 - 8", "Not Until 2040", "Select Vehicle Class")</f>
        <v>2028</v>
      </c>
      <c r="C25" s="89">
        <v>1</v>
      </c>
      <c r="D25" s="89">
        <v>1</v>
      </c>
      <c r="E25" s="90">
        <v>5000</v>
      </c>
      <c r="F25" s="93" cm="1">
        <f t="array" ref="F25">IF(C25&lt;&gt;0, _xlfn.SWITCH(A25, "Class 1 - 2a", $J$9,  "Class 2b - 3", $L$9,  "Class 4 - 8", $N$9, "Select Vehicle Class"), 0)</f>
        <v>34740</v>
      </c>
      <c r="G25" s="93" cm="1">
        <f t="array" ref="G25">IF(C25&lt;&gt;0, _xlfn.SWITCH(A25, "Class 1 - 2a", $K$9,  "Class 2b - 3", $M$9,  "Class 4 - 8", $O$9, "Select Vehicle Class"), 0)</f>
        <v>41840</v>
      </c>
      <c r="H25" s="93" cm="1">
        <f t="array" ref="H25">IF(C25&lt;&gt;0, _xlfn.SWITCH(A25, "Class 1 - 2a", $J$19,  "Class 2b - 3", $L$19,  "Class 4 - 8", $N$19, "Select Vehicle Class"), 0)</f>
        <v>43460</v>
      </c>
      <c r="I25" s="93" cm="1">
        <f t="array" ref="I25">IF(C25&lt;&gt;0, _xlfn.SWITCH(A25, "Class 1 - 2a", $K$19,  "Class 2b - 3", $M$19,  "Class 4 - 8", $O$19, "Select Vehicle Class"), 0)</f>
        <v>47820</v>
      </c>
      <c r="J25" s="93" t="str">
        <f>IFERROR(TEXT(SUM((C25*F25),(D25*E25)), "$#,##0_);($#,##0)") &amp; " - " &amp; TEXT(SUM((C25*G25),(D25*E25)), "$#,##0_);($#,##0)"), "Select Vehicle Class")</f>
        <v xml:space="preserve">$39,740  - $46,840 </v>
      </c>
      <c r="K25" s="93" t="str">
        <f>IFERROR(TEXT(SUM((C25*H25)+(D25*E25)), "$#,##0_);($#,##0)") &amp; " - " &amp; TEXT(SUM((C25*I25)+(D25*E25)), "$#,##0_);($#,##0)"), "Select Vehicle Class")</f>
        <v xml:space="preserve">$48,460  - $52,820 </v>
      </c>
      <c r="L25" s="93" t="str" cm="1">
        <f t="array" ref="L25">IFERROR(TEXT(SUM((C25*_xlfn.SWITCH(A25, "Class 1 - 2a", B19,  "Class 2b - 3", D19,  "Class 4 - 8", F19)) - (C25*H25)), "$#,##0_);($#,##0)") &amp; " - " &amp; TEXT(SUM((C25*_xlfn.SWITCH(A25, "Class 1 - 2a", C19,  "Class 2b - 3", E19,  "Class 4 - 8", G19)) - (C25*I25)), "$#,##0_);($#,##0)"), "Select Vehicle Class")</f>
        <v xml:space="preserve">$18,140  - $27,240 </v>
      </c>
    </row>
    <row r="26" spans="1:15" x14ac:dyDescent="0.35">
      <c r="A26" s="94" t="s">
        <v>67</v>
      </c>
      <c r="B26" s="62" t="str" cm="1">
        <f t="array" ref="B26">_xlfn.SWITCH($A$26, "Class 1 - 2a", "2028",  "Class 2b - 3", "2030",  "Class 4 - 8", "Not Until 2040", "Select Vehicle Class")</f>
        <v>2030</v>
      </c>
      <c r="C26" s="87">
        <v>1</v>
      </c>
      <c r="D26" s="87">
        <v>1</v>
      </c>
      <c r="E26" s="88">
        <v>1000</v>
      </c>
      <c r="F26" s="60" cm="1">
        <f t="array" ref="F26">IF(C26&lt;&gt;0, _xlfn.SWITCH(A26, "Class 1 - 2a", $J$9,  "Class 2b - 3", $L$9,  "Class 4 - 8", $N$9, "Select Vehicle Class"), 0)</f>
        <v>38300</v>
      </c>
      <c r="G26" s="60" cm="1">
        <f t="array" ref="G26">IF(C26&lt;&gt;0, _xlfn.SWITCH(A26, "Class 1 - 2a", $K$9,  "Class 2b - 3", $M$9,  "Class 4 - 8", $O$9, "Select Vehicle Class"), 0)</f>
        <v>47820</v>
      </c>
      <c r="H26" s="61" cm="1">
        <f t="array" ref="H26">IF(C26&lt;&gt;0, _xlfn.SWITCH(A26, "Class 1 - 2a", $J$19,  "Class 2b - 3", $L$19,  "Class 4 - 8", $N$19, "Select Vehicle Class"), 0)</f>
        <v>47740</v>
      </c>
      <c r="I26" s="61" cm="1">
        <f t="array" ref="I26">IF(C26&lt;&gt;0, _xlfn.SWITCH($A$26, "Class 1 - 2a", $K$19,  "Class 2b - 3", $M$19,  "Class 4 - 8", $O$19, "Select Vehicle Class"), 0)</f>
        <v>56320</v>
      </c>
      <c r="J26" s="60" t="str">
        <f t="shared" ref="J26:J27" si="4">IFERROR(TEXT(SUM((C26*F26),(D26*E26)), "$#,##0_);($#,##0)") &amp; " - " &amp; TEXT(SUM((C26*G26),(D26*E26)), "$#,##0_);($#,##0)"), "Select Vehicle Class")</f>
        <v xml:space="preserve">$39,300  - $48,820 </v>
      </c>
      <c r="K26" s="60" t="str">
        <f>IFERROR(TEXT(SUM((C26*H26)+(D26*E26)), "$#,##0_);($#,##0)") &amp; " - " &amp; TEXT(SUM((C26*I26)+(D26*E26)), "$#,##0_);($#,##0)"), "Select Vehicle Class")</f>
        <v xml:space="preserve">$48,740  - $57,320 </v>
      </c>
      <c r="L26" s="60" t="str" cm="1">
        <f t="array" ref="L26">IFERROR(TEXT(SUM((C26*_xlfn.SWITCH(A26, "Class 1 - 2a", B19,  "Class 2b - 3", D19,  "Class 4 - 8", F19)) - (C26*H26)), "$#,##0_);($#,##0)") &amp; " - " &amp; TEXT(SUM((C26*_xlfn.SWITCH(A26, "Class 1 - 2a", C19,  "Class 2b - 3", E19,  "Class 4 - 8", G19)) - (C26*I26)), "$#,##0_);($#,##0)"), "Select Vehicle Class")</f>
        <v xml:space="preserve">$22,620  - $24,420 </v>
      </c>
    </row>
    <row r="27" spans="1:15" x14ac:dyDescent="0.35">
      <c r="A27" s="91" t="s">
        <v>68</v>
      </c>
      <c r="B27" s="92" t="str" cm="1">
        <f t="array" ref="B27">_xlfn.SWITCH($A$27, "Class 1 - 2a", "2028",  "Class 2b - 3", "2030",  "Class 4 - 8", "Not Until 2040", "Select Vehicle Class")</f>
        <v>Not Until 2040</v>
      </c>
      <c r="C27" s="89">
        <v>1</v>
      </c>
      <c r="D27" s="89">
        <v>1</v>
      </c>
      <c r="E27" s="90">
        <v>1000</v>
      </c>
      <c r="F27" s="93" cm="1">
        <f t="array" ref="F27">IF(C27&lt;&gt;0, _xlfn.SWITCH(A27, "Class 1 - 2a", $J$9,  "Class 2b - 3", $L$9,  "Class 4 - 8", $N$9, "Select Vehicle Class"), 0)</f>
        <v>98060</v>
      </c>
      <c r="G27" s="93" cm="1">
        <f t="array" ref="G27">IF(C27&lt;&gt;0, _xlfn.SWITCH(A27, "Class 1 - 2a", $K$9,  "Class 2b - 3", $M$9,  "Class 4 - 8", $O$9, "Select Vehicle Class"), 0)</f>
        <v>225180</v>
      </c>
      <c r="H27" s="93" cm="1">
        <f t="array" ref="H27">IF(C27&lt;&gt;0, _xlfn.SWITCH(A27, "Class 1 - 2a", $J$19,  "Class 2b - 3", $L$19,  "Class 4 - 8", $N$19, "Select Vehicle Class"), 0)</f>
        <v>216320</v>
      </c>
      <c r="I27" s="93" cm="1">
        <f t="array" ref="I27">IF(C27&lt;&gt;0, _xlfn.SWITCH($A$27, "Class 1 - 2a", $K$19,  "Class 2b - 3", $M$19,  "Class 4 - 8", $O$19, "Select Vehicle Class"), 0)</f>
        <v>329940</v>
      </c>
      <c r="J27" s="93" t="str">
        <f t="shared" si="4"/>
        <v xml:space="preserve">$99,060  - $226,180 </v>
      </c>
      <c r="K27" s="93" t="str">
        <f>IFERROR(TEXT(SUM((C27*H27)+(D27*E27)), "$#,##0_);($#,##0)") &amp; " - " &amp; TEXT(SUM((C27*I27)+(D27*E27)), "$#,##0_);($#,##0)"), "Select Vehicle Class")</f>
        <v xml:space="preserve">$217,320  - $330,940 </v>
      </c>
      <c r="L27" s="93" t="str" cm="1">
        <f t="array" ref="L27">IFERROR(TEXT(SUM((C27*_xlfn.SWITCH(A27, "Class 1 - 2a", B19,  "Class 2b - 3", D19,  "Class 4 - 8", F19)) - (C27*H27)), "$#,##0_);($#,##0)") &amp; " - " &amp; TEXT(SUM((C27*_xlfn.SWITCH(A27, "Class 1 - 2a", C19,  "Class 2b - 3", E19,  "Class 4 - 8", G19)) - (C27*I27)), "$#,##0_);($#,##0)"), "Select Vehicle Class")</f>
        <v xml:space="preserve">$100,040  - $128,080 </v>
      </c>
    </row>
    <row r="28" spans="1:15" x14ac:dyDescent="0.35">
      <c r="A28" s="55" t="s">
        <v>69</v>
      </c>
      <c r="B28" s="56"/>
      <c r="C28" s="57">
        <f>SUM(C25:C27)</f>
        <v>3</v>
      </c>
      <c r="D28" s="58">
        <f>SUM(D25:D27)</f>
        <v>3</v>
      </c>
      <c r="E28" s="59"/>
      <c r="F28" s="59"/>
      <c r="G28" s="59"/>
      <c r="H28" s="59"/>
      <c r="I28" s="59"/>
      <c r="J28" s="63" t="str">
        <f>IFERROR(TEXT(SUM((C25*F25),(D25*E25), (C26*F26),(D26*E26), (C27*F27),(D27*E27)), "$#,##0_);($#,##0)") &amp; " - " &amp; TEXT(SUM((C25*G25),(D25*E25), (C26*G26),(D26*E26), (C27*G27),(D27*E27)), "$#,##0_);($#,##0)"), "Select Vehicle Class")</f>
        <v xml:space="preserve">$178,100  - $321,840 </v>
      </c>
      <c r="K28" s="63" t="str">
        <f>IFERROR(TEXT(SUM((C25*H25)+(D25*E25), (C26*H26)+(D26*E26), (C27*H27)+(D27*E27)), "$#,##0_);($#,##0)") &amp; " - " &amp; TEXT(SUM((C25*I25)+(D25*E25), (C26*I26)+(D26*E26), (C27*I27)+(D27*E27)), "$#,##0_);($#,##0)"), "")</f>
        <v xml:space="preserve">$314,520  - $441,080 </v>
      </c>
      <c r="L28" s="63" t="str" cm="1">
        <f t="array" ref="L28">IFERROR(TEXT(SUM((C25*_xlfn.SWITCH(A25, "Class 1 - 2a", B19,  "Class 2b - 3", D19,  "Class 4 - 8", F19)) - (C25*H25), (C26*_xlfn.SWITCH($A$26, "Class 1 - 2a", B19,  "Class 2b - 3", D19,  "Class 4 - 8", F19)) - (C26*H26), (C27*_xlfn.SWITCH(A27, "Class 1 - 2a", B19,  "Class 2b - 3", D19,  "Class 4 - 8", F19)) - (C27*H27)), "$#,##0_);($#,##0)") &amp; " - " &amp; TEXT(SUM((C25*_xlfn.SWITCH(A25, "Class 1 - 2a", C19,  "Class 2b - 3", E19,  "Class 4 - 8", G19)) - (C25*I25), (C26*_xlfn.SWITCH($A$26, "Class 1 - 2a", C19,  "Class 2b - 3", E19,  "Class 4 - 8", G19)) - (C26*I26), (C27*_xlfn.SWITCH($A$27, "Class 1 - 2a", C19,  "Class 2b - 3", E19,  "Class 4 - 8", G19)) - (C27*I27)), "$#,##0_);($#,##0)"), "Select Vehicle Class")</f>
        <v xml:space="preserve">$140,800  - $179,740 </v>
      </c>
    </row>
    <row r="29" spans="1:15" x14ac:dyDescent="0.3">
      <c r="A29" s="52" t="s">
        <v>70</v>
      </c>
      <c r="B29" s="52"/>
      <c r="C29" s="51"/>
      <c r="D29" s="51"/>
      <c r="E29" s="51"/>
      <c r="F29" s="51"/>
      <c r="G29" s="51"/>
      <c r="H29" s="51"/>
      <c r="I29" s="51"/>
      <c r="J29" s="51"/>
      <c r="K29" s="51"/>
    </row>
    <row r="30" spans="1:15" x14ac:dyDescent="0.35">
      <c r="A30"/>
      <c r="B30"/>
      <c r="C30"/>
      <c r="D30"/>
      <c r="E30"/>
      <c r="F30"/>
      <c r="G30"/>
      <c r="H30"/>
      <c r="I30"/>
    </row>
    <row r="34" ht="15" customHeight="1" x14ac:dyDescent="0.35"/>
    <row r="35" ht="15" customHeight="1" x14ac:dyDescent="0.35"/>
  </sheetData>
  <sheetProtection algorithmName="SHA-512" hashValue="Bda7Z0I0fWNpre7Qt7XWokU/eAYAK30EYAcAdPkxoAoA1WqSjaCfhY4m4dNsxiJ4MtWjPlkMHnuoYAaLsZJ6Pg==" saltValue="nBPZKfo/a9SC6syg3wsmGw==" spinCount="100000" sheet="1" objects="1" scenarios="1"/>
  <mergeCells count="27">
    <mergeCell ref="A11:G11"/>
    <mergeCell ref="I11:O11"/>
    <mergeCell ref="A20:G20"/>
    <mergeCell ref="I1:O1"/>
    <mergeCell ref="A1:G1"/>
    <mergeCell ref="B2:C2"/>
    <mergeCell ref="D2:E2"/>
    <mergeCell ref="F2:G2"/>
    <mergeCell ref="N2:O2"/>
    <mergeCell ref="J2:K2"/>
    <mergeCell ref="L2:M2"/>
    <mergeCell ref="L23:L24"/>
    <mergeCell ref="N12:O12"/>
    <mergeCell ref="A23:A24"/>
    <mergeCell ref="C23:C24"/>
    <mergeCell ref="D23:D24"/>
    <mergeCell ref="E23:E24"/>
    <mergeCell ref="K23:K24"/>
    <mergeCell ref="F23:G23"/>
    <mergeCell ref="H23:I23"/>
    <mergeCell ref="J23:J24"/>
    <mergeCell ref="B23:B24"/>
    <mergeCell ref="B12:C12"/>
    <mergeCell ref="D12:E12"/>
    <mergeCell ref="F12:G12"/>
    <mergeCell ref="J12:K12"/>
    <mergeCell ref="L12:M12"/>
  </mergeCells>
  <phoneticPr fontId="12" type="noConversion"/>
  <dataValidations count="3">
    <dataValidation type="list" allowBlank="1" showInputMessage="1" showErrorMessage="1" promptTitle="Vehicle Class" prompt="Select one from the dropdown" sqref="A25:A27" xr:uid="{8AE34D1D-7997-4DF1-A167-A2D12E07AF06}">
      <formula1>"Class 1 - 2a, Class 2b - 3, Class 4 - 8"</formula1>
    </dataValidation>
    <dataValidation type="whole" allowBlank="1" showInputMessage="1" showErrorMessage="1" errorTitle="Number of Vehicles Error!" error="Make sure to enter the quantity between 1 - 25" prompt="Enter a qty from 0 to 25" sqref="C25:D27" xr:uid="{4BA13E57-4AEF-4A6F-941E-13CFA9FABC11}">
      <formula1>0</formula1>
      <formula2>25</formula2>
    </dataValidation>
    <dataValidation type="whole" allowBlank="1" showInputMessage="1" showErrorMessage="1" errorTitle="Up-Fitting Cost" error="Value can be between zero and a max value of upto the low estimate of the vehicle purchase cost." promptTitle="Up-Fitting Cost" prompt="It is per vehicle, can be zero or a whole number." sqref="E25:E27" xr:uid="{3E58BBAA-95D5-49B5-87DC-6542BA1E04BC}">
      <formula1>0</formula1>
      <formula2>F25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49A8-EF4D-4372-BC51-2068EEB0506D}">
  <dimension ref="B1:O41"/>
  <sheetViews>
    <sheetView topLeftCell="B10" workbookViewId="0">
      <selection activeCell="M19" sqref="M19"/>
    </sheetView>
  </sheetViews>
  <sheetFormatPr defaultRowHeight="14.5" x14ac:dyDescent="0.35"/>
  <cols>
    <col min="2" max="2" width="32" customWidth="1"/>
    <col min="3" max="3" width="25.6328125" style="38" customWidth="1"/>
    <col min="4" max="5" width="18.36328125" customWidth="1"/>
    <col min="6" max="6" width="5" customWidth="1"/>
    <col min="7" max="7" width="31.36328125" customWidth="1"/>
    <col min="8" max="8" width="14.90625" style="13" customWidth="1"/>
    <col min="9" max="9" width="15.36328125" style="13" customWidth="1"/>
    <col min="10" max="10" width="15.90625" customWidth="1"/>
    <col min="11" max="11" width="16.36328125" customWidth="1"/>
    <col min="12" max="12" width="19" customWidth="1"/>
    <col min="13" max="13" width="16.36328125" customWidth="1"/>
    <col min="14" max="14" width="23.08984375" customWidth="1"/>
    <col min="15" max="15" width="14.36328125" customWidth="1"/>
    <col min="16" max="16" width="13.90625" customWidth="1"/>
    <col min="17" max="19" width="16.36328125" customWidth="1"/>
    <col min="20" max="20" width="15.54296875" customWidth="1"/>
  </cols>
  <sheetData>
    <row r="1" spans="2:15" x14ac:dyDescent="0.35">
      <c r="C1" s="112"/>
      <c r="H1" s="111"/>
      <c r="I1" s="111"/>
    </row>
    <row r="2" spans="2:15" ht="20.149999999999999" customHeight="1" x14ac:dyDescent="0.5">
      <c r="B2" s="133" t="s">
        <v>71</v>
      </c>
      <c r="C2" s="134"/>
      <c r="D2" s="1"/>
      <c r="E2" s="1"/>
      <c r="G2" s="24" t="s">
        <v>72</v>
      </c>
      <c r="H2" s="24"/>
      <c r="I2" s="24"/>
      <c r="J2" s="24"/>
      <c r="K2" s="24"/>
      <c r="L2" s="24"/>
      <c r="M2" s="24"/>
      <c r="N2" s="24"/>
      <c r="O2" s="24"/>
    </row>
    <row r="3" spans="2:15" ht="20.149999999999999" customHeight="1" x14ac:dyDescent="0.35">
      <c r="B3" s="11" t="s">
        <v>73</v>
      </c>
      <c r="C3" s="10"/>
      <c r="D3" s="2"/>
      <c r="E3" s="2"/>
      <c r="G3" s="135" t="s">
        <v>74</v>
      </c>
      <c r="H3" s="135" t="s">
        <v>56</v>
      </c>
      <c r="I3" s="136" t="s">
        <v>75</v>
      </c>
      <c r="J3" s="136" t="s">
        <v>76</v>
      </c>
      <c r="K3" s="139" t="s">
        <v>77</v>
      </c>
      <c r="L3" s="136" t="s">
        <v>78</v>
      </c>
      <c r="M3" s="136" t="s">
        <v>60</v>
      </c>
      <c r="N3" s="136" t="s">
        <v>79</v>
      </c>
      <c r="O3" s="137" t="s">
        <v>18</v>
      </c>
    </row>
    <row r="4" spans="2:15" ht="20.149999999999999" customHeight="1" x14ac:dyDescent="0.35">
      <c r="B4" s="6" t="s">
        <v>27</v>
      </c>
      <c r="C4" s="6" t="s">
        <v>80</v>
      </c>
      <c r="D4" s="4" t="s">
        <v>43</v>
      </c>
      <c r="E4" s="4" t="s">
        <v>44</v>
      </c>
      <c r="G4" s="135"/>
      <c r="H4" s="135"/>
      <c r="I4" s="136"/>
      <c r="J4" s="136"/>
      <c r="K4" s="140"/>
      <c r="L4" s="136"/>
      <c r="M4" s="136"/>
      <c r="N4" s="136"/>
      <c r="O4" s="137"/>
    </row>
    <row r="5" spans="2:15" ht="20.149999999999999" customHeight="1" x14ac:dyDescent="0.35">
      <c r="B5" s="7" t="s">
        <v>81</v>
      </c>
      <c r="C5" s="3" t="s">
        <v>82</v>
      </c>
      <c r="D5" s="12" cm="1">
        <f t="array" ref="D5">_xlfn.SWITCH($C$5, "Level 1 Charger",50, "Level 2 Charger",1000, "Level 3 Charger",12500, "Select Type")</f>
        <v>12500</v>
      </c>
      <c r="E5" s="12">
        <f>IF($C$5="Level 1 Charger",100,IF($C$5="Level 2 Charger",3500,IF($C$5="Level 3 Charger",25000,"Select Type")))</f>
        <v>25000</v>
      </c>
      <c r="G5" s="22" t="s">
        <v>83</v>
      </c>
      <c r="H5" s="15"/>
      <c r="I5" s="15">
        <v>1</v>
      </c>
      <c r="J5" s="14">
        <v>50000</v>
      </c>
      <c r="K5" s="14">
        <v>2000</v>
      </c>
      <c r="L5" s="16">
        <v>2</v>
      </c>
      <c r="M5" s="14">
        <v>1000</v>
      </c>
      <c r="N5" s="14">
        <v>2000</v>
      </c>
      <c r="O5" s="14">
        <f t="shared" ref="O5:O10" si="0">SUM((I5*J5)+(L5*M5)+N5)</f>
        <v>54000</v>
      </c>
    </row>
    <row r="6" spans="2:15" ht="20.149999999999999" customHeight="1" x14ac:dyDescent="0.35">
      <c r="B6" s="7" t="s">
        <v>84</v>
      </c>
      <c r="C6" s="3"/>
      <c r="D6" s="12">
        <f>IF($C$6="Networked",800,0)</f>
        <v>0</v>
      </c>
      <c r="E6" s="12">
        <f>IF($C$6="Networked",1200,0)</f>
        <v>0</v>
      </c>
      <c r="G6" s="22" t="s">
        <v>85</v>
      </c>
      <c r="H6" s="15"/>
      <c r="I6" s="15">
        <v>5</v>
      </c>
      <c r="J6" s="14">
        <v>35000</v>
      </c>
      <c r="K6" s="19">
        <v>4000</v>
      </c>
      <c r="L6" s="16">
        <v>2</v>
      </c>
      <c r="M6" s="19">
        <v>2000</v>
      </c>
      <c r="N6" s="19">
        <v>4000</v>
      </c>
      <c r="O6" s="14">
        <f t="shared" si="0"/>
        <v>183000</v>
      </c>
    </row>
    <row r="7" spans="2:15" ht="20.149999999999999" customHeight="1" x14ac:dyDescent="0.35">
      <c r="B7" s="7" t="s">
        <v>86</v>
      </c>
      <c r="C7" s="3">
        <v>2</v>
      </c>
      <c r="D7" s="12">
        <f>(D5+D6)*$C$7</f>
        <v>25000</v>
      </c>
      <c r="E7" s="12">
        <f>(E5+E6)*$C$7</f>
        <v>50000</v>
      </c>
      <c r="G7" s="22" t="s">
        <v>87</v>
      </c>
      <c r="H7" s="15"/>
      <c r="I7" s="15">
        <v>5</v>
      </c>
      <c r="J7" s="14">
        <v>40000</v>
      </c>
      <c r="K7" s="14">
        <v>6000</v>
      </c>
      <c r="L7" s="16">
        <v>2</v>
      </c>
      <c r="M7" s="14">
        <v>3000</v>
      </c>
      <c r="N7" s="14">
        <v>6000</v>
      </c>
      <c r="O7" s="14">
        <f t="shared" si="0"/>
        <v>212000</v>
      </c>
    </row>
    <row r="8" spans="2:15" ht="20.149999999999999" customHeight="1" x14ac:dyDescent="0.35">
      <c r="B8" s="7" t="s">
        <v>88</v>
      </c>
      <c r="C8" s="3">
        <v>1</v>
      </c>
      <c r="D8" s="12">
        <f>$C$8*C16</f>
        <v>220</v>
      </c>
      <c r="E8" s="12">
        <f>$C$8*C16*1.5</f>
        <v>330</v>
      </c>
      <c r="G8" s="22" t="s">
        <v>89</v>
      </c>
      <c r="H8" s="15"/>
      <c r="I8" s="15">
        <v>5</v>
      </c>
      <c r="J8" s="14">
        <v>45000</v>
      </c>
      <c r="K8" s="19">
        <v>8000</v>
      </c>
      <c r="L8" s="16">
        <v>2</v>
      </c>
      <c r="M8" s="19">
        <v>4000</v>
      </c>
      <c r="N8" s="19">
        <v>8000</v>
      </c>
      <c r="O8" s="14">
        <f t="shared" si="0"/>
        <v>241000</v>
      </c>
    </row>
    <row r="9" spans="2:15" ht="20.149999999999999" customHeight="1" x14ac:dyDescent="0.35">
      <c r="B9" s="7" t="s">
        <v>90</v>
      </c>
      <c r="C9" s="3" t="s">
        <v>91</v>
      </c>
      <c r="D9" s="12">
        <f>IF(ISBLANK(C9),0,IF(C9="Owned",200,1500))</f>
        <v>1500</v>
      </c>
      <c r="E9" s="12">
        <f>IF(ISBLANK(C9),0,IF(C9="Owned",400,2500))</f>
        <v>2500</v>
      </c>
      <c r="G9" s="22" t="s">
        <v>92</v>
      </c>
      <c r="H9" s="15"/>
      <c r="I9" s="15">
        <v>5</v>
      </c>
      <c r="J9" s="14">
        <v>50000</v>
      </c>
      <c r="K9" s="14">
        <v>10000</v>
      </c>
      <c r="L9" s="16">
        <v>2</v>
      </c>
      <c r="M9" s="14">
        <v>5000</v>
      </c>
      <c r="N9" s="14">
        <v>10000</v>
      </c>
      <c r="O9" s="14">
        <f t="shared" si="0"/>
        <v>270000</v>
      </c>
    </row>
    <row r="10" spans="2:15" ht="20.149999999999999" customHeight="1" x14ac:dyDescent="0.35">
      <c r="B10" s="7" t="s">
        <v>93</v>
      </c>
      <c r="C10" s="3" t="s">
        <v>94</v>
      </c>
      <c r="D10" s="12">
        <f>IF(C10="Additional capacity needed",D7,0)*C7</f>
        <v>50000</v>
      </c>
      <c r="E10" s="12">
        <f>IF(C10="Additional capacity needed",E7,0)*C7</f>
        <v>100000</v>
      </c>
      <c r="G10" s="22" t="s">
        <v>95</v>
      </c>
      <c r="H10" s="15"/>
      <c r="I10" s="15">
        <v>5</v>
      </c>
      <c r="J10" s="14">
        <v>60000</v>
      </c>
      <c r="K10" s="19">
        <v>12000</v>
      </c>
      <c r="L10" s="16">
        <v>2</v>
      </c>
      <c r="M10" s="19">
        <v>6000</v>
      </c>
      <c r="N10" s="19">
        <v>12000</v>
      </c>
      <c r="O10" s="14">
        <f t="shared" si="0"/>
        <v>324000</v>
      </c>
    </row>
    <row r="11" spans="2:15" ht="20.149999999999999" customHeight="1" x14ac:dyDescent="0.35">
      <c r="B11" s="7" t="s">
        <v>96</v>
      </c>
      <c r="C11" s="3" t="s">
        <v>97</v>
      </c>
      <c r="D11" s="12">
        <f>IF($C$11="Yes",200*C8,0)</f>
        <v>200</v>
      </c>
      <c r="E11" s="12">
        <f>IF($C$11="Yes",800*C8,0)</f>
        <v>800</v>
      </c>
      <c r="G11" s="23" t="s">
        <v>18</v>
      </c>
      <c r="H11" s="15"/>
      <c r="I11" s="21">
        <f>SUM(I5:I10)</f>
        <v>26</v>
      </c>
      <c r="J11" s="18"/>
      <c r="K11" s="19"/>
      <c r="L11" s="17">
        <f>SUM(L5:L10)</f>
        <v>12</v>
      </c>
      <c r="M11" s="19"/>
      <c r="N11" s="19"/>
      <c r="O11" s="20">
        <f>SUM(O5:O10)</f>
        <v>1284000</v>
      </c>
    </row>
    <row r="12" spans="2:15" ht="20.149999999999999" customHeight="1" x14ac:dyDescent="0.35">
      <c r="B12" s="7" t="s">
        <v>98</v>
      </c>
      <c r="C12" s="3" t="s">
        <v>97</v>
      </c>
      <c r="D12" s="12">
        <f>IF($C$12="Yes",500*C8,0)</f>
        <v>500</v>
      </c>
      <c r="E12" s="12">
        <f>IF($C$12="Yes",1500*C8,0)</f>
        <v>1500</v>
      </c>
      <c r="G12" s="138" t="s">
        <v>99</v>
      </c>
      <c r="H12" s="138"/>
      <c r="I12" s="138"/>
      <c r="J12" s="138"/>
      <c r="K12" s="138"/>
      <c r="L12" s="138"/>
      <c r="M12" s="138"/>
      <c r="N12" s="138"/>
      <c r="O12" s="138"/>
    </row>
    <row r="13" spans="2:15" ht="20.149999999999999" customHeight="1" x14ac:dyDescent="0.35">
      <c r="B13" s="7" t="s">
        <v>100</v>
      </c>
      <c r="C13" s="3" t="s">
        <v>97</v>
      </c>
      <c r="D13" s="12">
        <f>IF($C$13="Yes",2500*$C$7,0)</f>
        <v>5000</v>
      </c>
      <c r="E13" s="12">
        <f>IF($C$13="Yes",10000*$C$7,0)</f>
        <v>20000</v>
      </c>
      <c r="H13"/>
      <c r="I13"/>
    </row>
    <row r="14" spans="2:15" ht="20.149999999999999" customHeight="1" x14ac:dyDescent="0.5">
      <c r="B14" s="7" t="s">
        <v>101</v>
      </c>
      <c r="C14" s="3" t="s">
        <v>102</v>
      </c>
      <c r="D14" s="12">
        <f>IF(ISBLANK(C14),0, IF($C$14="a. Fleet only",0,1200*$C$7))</f>
        <v>2400</v>
      </c>
      <c r="E14" s="12">
        <f>IF(ISBLANK(C14),0,IF($C$14="a. Fleet only",0,2200*$C$7))</f>
        <v>4400</v>
      </c>
      <c r="G14" s="66" t="s">
        <v>103</v>
      </c>
      <c r="H14" s="66"/>
      <c r="I14" s="66"/>
      <c r="J14" s="66"/>
      <c r="K14" s="66"/>
      <c r="L14" s="66"/>
    </row>
    <row r="15" spans="2:15" ht="20.149999999999999" customHeight="1" x14ac:dyDescent="0.35">
      <c r="B15" s="7" t="s">
        <v>104</v>
      </c>
      <c r="C15" s="3" t="s">
        <v>97</v>
      </c>
      <c r="D15" s="12">
        <f>IF($C$15="Yes",800*C7,0)</f>
        <v>1600</v>
      </c>
      <c r="E15" s="12">
        <f>IF($C$15="Yes",2500*C7,0)</f>
        <v>5000</v>
      </c>
      <c r="G15" s="147" t="s">
        <v>56</v>
      </c>
      <c r="H15" s="139" t="s">
        <v>75</v>
      </c>
      <c r="I15" s="139" t="s">
        <v>105</v>
      </c>
      <c r="J15" s="139" t="s">
        <v>106</v>
      </c>
      <c r="K15" s="139" t="s">
        <v>57</v>
      </c>
      <c r="L15" s="141" t="s">
        <v>18</v>
      </c>
    </row>
    <row r="16" spans="2:15" ht="20.149999999999999" customHeight="1" x14ac:dyDescent="0.35">
      <c r="B16" s="7" t="s">
        <v>107</v>
      </c>
      <c r="C16" s="3">
        <v>220</v>
      </c>
      <c r="D16" s="12"/>
      <c r="E16" s="12"/>
      <c r="G16" s="148"/>
      <c r="H16" s="140"/>
      <c r="I16" s="140"/>
      <c r="J16" s="140"/>
      <c r="K16" s="140"/>
      <c r="L16" s="142"/>
    </row>
    <row r="17" spans="2:15" ht="20.149999999999999" customHeight="1" x14ac:dyDescent="0.35">
      <c r="B17" s="8" t="s">
        <v>69</v>
      </c>
      <c r="C17" s="9" t="str">
        <f>IFERROR("$"&amp;D17&amp;" - "&amp;"$"&amp;E17,"")</f>
        <v>$86420 - $184530</v>
      </c>
      <c r="D17" s="5">
        <f>SUM(D6:D16)</f>
        <v>86420</v>
      </c>
      <c r="E17" s="5">
        <f>SUM(E6:E16)</f>
        <v>184530</v>
      </c>
      <c r="G17" s="22" t="s">
        <v>108</v>
      </c>
      <c r="H17" s="15">
        <v>2</v>
      </c>
      <c r="I17" s="14">
        <v>7500</v>
      </c>
      <c r="J17" s="14">
        <v>10000</v>
      </c>
      <c r="K17" s="26">
        <v>2028</v>
      </c>
      <c r="L17" s="14" t="str">
        <f>TEXT(SUM(H17*I17), "$#,##0_);($#,##0)") &amp; " - " &amp; TEXT(SUM(H17*J17), "$#,##0_);($#,##0)")</f>
        <v xml:space="preserve">$15,000  - $20,000 </v>
      </c>
    </row>
    <row r="18" spans="2:15" x14ac:dyDescent="0.35">
      <c r="C18" s="112"/>
      <c r="G18" s="22" t="s">
        <v>109</v>
      </c>
      <c r="H18" s="15">
        <v>1</v>
      </c>
      <c r="I18" s="19">
        <v>12000</v>
      </c>
      <c r="J18" s="14">
        <v>16000</v>
      </c>
      <c r="K18" s="26">
        <v>2030</v>
      </c>
      <c r="L18" s="14" t="str">
        <f>TEXT(SUM(H18*I18), "$#,##0_);($#,##0)") &amp; " - " &amp; TEXT(SUM(H18*J18), "$#,##0_);($#,##0)")</f>
        <v xml:space="preserve">$12,000  - $16,000 </v>
      </c>
    </row>
    <row r="19" spans="2:15" x14ac:dyDescent="0.35">
      <c r="C19" s="112"/>
      <c r="G19" s="22" t="s">
        <v>110</v>
      </c>
      <c r="H19" s="15">
        <v>1</v>
      </c>
      <c r="I19" s="14">
        <v>30000</v>
      </c>
      <c r="J19" s="14">
        <v>45000</v>
      </c>
      <c r="K19" s="26" t="s">
        <v>111</v>
      </c>
      <c r="L19" s="14" t="str">
        <f>TEXT(SUM(H19*I19), "$#,##0_);($#,##0)") &amp; " - " &amp; TEXT(SUM(H19*J19), "$#,##0_);($#,##0)")</f>
        <v xml:space="preserve">$30,000  - $45,000 </v>
      </c>
    </row>
    <row r="20" spans="2:15" ht="17" x14ac:dyDescent="0.35">
      <c r="C20" s="112"/>
      <c r="G20" s="27" t="s">
        <v>18</v>
      </c>
      <c r="H20" s="28">
        <f>SUM(H17:H19)</f>
        <v>4</v>
      </c>
      <c r="I20" s="28"/>
      <c r="J20" s="29"/>
      <c r="K20" s="29"/>
      <c r="L20" s="65" t="str">
        <f>TEXT(SUM(H17*J17)+SUM(H18*J18)+SUM(H19*J19), "$#,##0_);($#,##0)") &amp; " - " &amp; TEXT(SUM(H17*I17)+SUM(H18*I18)+SUM(H19*I19), "$#,##0_);($#,##0)")</f>
        <v xml:space="preserve">$81,000  - $57,000 </v>
      </c>
    </row>
    <row r="21" spans="2:15" x14ac:dyDescent="0.35">
      <c r="C21" s="112"/>
      <c r="H21"/>
      <c r="I21"/>
    </row>
    <row r="22" spans="2:15" ht="20.149999999999999" customHeight="1" x14ac:dyDescent="0.35">
      <c r="C22" s="112"/>
      <c r="H22" s="143"/>
      <c r="I22" s="143"/>
      <c r="J22" s="143"/>
      <c r="K22" s="143"/>
      <c r="L22" s="144"/>
      <c r="M22" s="144"/>
    </row>
    <row r="23" spans="2:15" ht="20.149999999999999" customHeight="1" x14ac:dyDescent="0.5">
      <c r="B23" s="145" t="s">
        <v>71</v>
      </c>
      <c r="C23" s="146"/>
      <c r="D23" s="1"/>
      <c r="E23" s="1"/>
      <c r="G23" t="s">
        <v>1</v>
      </c>
      <c r="H23" s="13" t="s">
        <v>112</v>
      </c>
      <c r="I23" s="13" t="s">
        <v>113</v>
      </c>
      <c r="J23" s="13" t="s">
        <v>114</v>
      </c>
      <c r="K23" s="13" t="s">
        <v>115</v>
      </c>
      <c r="L23" s="13" t="s">
        <v>6</v>
      </c>
      <c r="M23" s="35"/>
    </row>
    <row r="24" spans="2:15" ht="20.149999999999999" customHeight="1" x14ac:dyDescent="0.35">
      <c r="B24" s="11" t="s">
        <v>73</v>
      </c>
      <c r="C24" s="10"/>
      <c r="D24" s="2"/>
      <c r="E24" s="2"/>
      <c r="G24" t="s">
        <v>8</v>
      </c>
      <c r="H24" s="35">
        <v>6193</v>
      </c>
      <c r="I24" s="36">
        <v>6999</v>
      </c>
      <c r="J24" s="35">
        <v>8914</v>
      </c>
      <c r="K24" s="35">
        <v>10151</v>
      </c>
      <c r="L24" s="35">
        <v>43117</v>
      </c>
      <c r="M24" s="35"/>
      <c r="N24" s="35"/>
      <c r="O24" s="25"/>
    </row>
    <row r="25" spans="2:15" ht="20.149999999999999" customHeight="1" x14ac:dyDescent="0.35">
      <c r="B25" s="6" t="s">
        <v>27</v>
      </c>
      <c r="C25" s="6" t="s">
        <v>80</v>
      </c>
      <c r="D25" s="4" t="s">
        <v>43</v>
      </c>
      <c r="E25" s="4" t="s">
        <v>44</v>
      </c>
      <c r="G25" t="s">
        <v>10</v>
      </c>
      <c r="H25" s="36">
        <v>1579</v>
      </c>
      <c r="I25" s="36">
        <v>2000</v>
      </c>
      <c r="J25" s="36">
        <v>2000</v>
      </c>
      <c r="K25" s="35">
        <v>2300</v>
      </c>
      <c r="L25" s="35">
        <v>96188</v>
      </c>
      <c r="M25" s="35"/>
      <c r="N25" s="35"/>
    </row>
    <row r="26" spans="2:15" ht="24" x14ac:dyDescent="0.35">
      <c r="B26" s="7" t="s">
        <v>116</v>
      </c>
      <c r="C26" s="3" t="s">
        <v>82</v>
      </c>
      <c r="D26" s="12" cm="1">
        <f t="array" ref="D26">_xlfn.SWITCH($C$26,"Level 1 Charger",200, "Level 2 Charger - Single Head",6200, "Level 2 Charger - Dual Head",9000, "Level 3 Charger",51000, "Select Station Type")</f>
        <v>51000</v>
      </c>
      <c r="E26" s="12" cm="1">
        <f t="array" ref="E26">_xlfn.SWITCH($C$26,"Level 1 Charger",300, "Level 2 Charger - Single Head",7000, "Level 2 Charger - Dual Head",10200, "Level 3 Charger",51000, "Select Station Type")</f>
        <v>51000</v>
      </c>
      <c r="G26" s="37" t="s">
        <v>12</v>
      </c>
      <c r="H26" s="36">
        <v>599</v>
      </c>
      <c r="I26" s="36">
        <v>599</v>
      </c>
      <c r="J26" s="36">
        <v>599</v>
      </c>
      <c r="K26" s="36">
        <v>599</v>
      </c>
      <c r="L26" s="35">
        <v>1358</v>
      </c>
      <c r="M26" s="35"/>
      <c r="N26" s="35"/>
    </row>
    <row r="27" spans="2:15" ht="20.149999999999999" customHeight="1" x14ac:dyDescent="0.35">
      <c r="B27" s="7" t="s">
        <v>84</v>
      </c>
      <c r="C27" s="3"/>
      <c r="D27" s="12" t="str" cm="1">
        <f t="array" ref="D27">_xlfn.SWITCH($C$27, "Networked",800,  "Non-networked",0,"Select Network Type")</f>
        <v>Select Network Type</v>
      </c>
      <c r="E27" s="12" t="str" cm="1">
        <f t="array" ref="E27">_xlfn.SWITCH($C$27, "Networked",1200,  "Non-networked",0,"Select Network Type")</f>
        <v>Select Network Type</v>
      </c>
      <c r="G27" t="s">
        <v>14</v>
      </c>
      <c r="H27" s="36">
        <v>1200</v>
      </c>
      <c r="I27" s="36">
        <v>1200</v>
      </c>
      <c r="J27" s="36">
        <v>1200</v>
      </c>
      <c r="K27" s="36">
        <v>1200</v>
      </c>
      <c r="L27" s="35">
        <v>4220</v>
      </c>
      <c r="M27" s="35"/>
      <c r="N27" s="35"/>
    </row>
    <row r="28" spans="2:15" ht="20.149999999999999" customHeight="1" x14ac:dyDescent="0.35">
      <c r="B28" s="7" t="s">
        <v>86</v>
      </c>
      <c r="C28" s="3">
        <v>2</v>
      </c>
      <c r="D28" s="12" t="e">
        <f>(D26+D27)*$C$28</f>
        <v>#VALUE!</v>
      </c>
      <c r="E28" s="12" t="e">
        <f>(E26+E27)*$C$28</f>
        <v>#VALUE!</v>
      </c>
      <c r="G28" t="s">
        <v>15</v>
      </c>
      <c r="H28" s="36">
        <v>349</v>
      </c>
      <c r="I28" s="36">
        <v>349</v>
      </c>
      <c r="J28" s="36">
        <v>349</v>
      </c>
      <c r="K28" s="36">
        <v>349</v>
      </c>
      <c r="L28" s="36">
        <v>349</v>
      </c>
      <c r="M28" s="35"/>
      <c r="N28" s="35"/>
    </row>
    <row r="29" spans="2:15" ht="20.149999999999999" customHeight="1" x14ac:dyDescent="0.35">
      <c r="B29" s="7" t="s">
        <v>88</v>
      </c>
      <c r="C29" s="3"/>
      <c r="D29" s="12">
        <f>$C$8*C37</f>
        <v>220</v>
      </c>
      <c r="E29" s="12">
        <f>$C$8*C37*1.5</f>
        <v>330</v>
      </c>
      <c r="G29" t="s">
        <v>16</v>
      </c>
      <c r="H29" s="36">
        <v>1343</v>
      </c>
      <c r="I29" s="36">
        <v>897</v>
      </c>
      <c r="J29" s="36">
        <v>1343</v>
      </c>
      <c r="K29" s="36">
        <v>897</v>
      </c>
      <c r="L29" s="35">
        <v>4799</v>
      </c>
      <c r="M29" s="35"/>
      <c r="N29" s="35"/>
    </row>
    <row r="30" spans="2:15" ht="20.149999999999999" customHeight="1" x14ac:dyDescent="0.35">
      <c r="B30" s="7" t="s">
        <v>90</v>
      </c>
      <c r="C30" s="3"/>
      <c r="D30" s="12" t="str" cm="1">
        <f t="array" ref="D30">_xlfn.SWITCH($C$30, "Owned",200, "Leased",1500, "Select Location Type")</f>
        <v>Select Location Type</v>
      </c>
      <c r="E30" s="12" t="str" cm="1">
        <f t="array" ref="E30">_xlfn.SWITCH($C$30, "Owned",400, "Leased",2500, "Select Location Type")</f>
        <v>Select Location Type</v>
      </c>
      <c r="G30" t="s">
        <v>17</v>
      </c>
      <c r="H30" s="36">
        <v>2541</v>
      </c>
      <c r="I30" s="36">
        <v>688</v>
      </c>
      <c r="J30" s="36">
        <v>2541</v>
      </c>
      <c r="K30" s="36">
        <v>688</v>
      </c>
      <c r="L30" s="35">
        <v>15787</v>
      </c>
      <c r="M30" s="35"/>
      <c r="O30" s="35"/>
    </row>
    <row r="31" spans="2:15" ht="20.149999999999999" customHeight="1" x14ac:dyDescent="0.35">
      <c r="B31" s="7" t="s">
        <v>93</v>
      </c>
      <c r="C31" s="3" t="s">
        <v>94</v>
      </c>
      <c r="D31" s="12" t="e">
        <f>IF(C31="Additional capacity needed",D28,0)*C28</f>
        <v>#VALUE!</v>
      </c>
      <c r="E31" s="12" t="e">
        <f>IF(C31="Additional capacity needed",E28,0)*C28</f>
        <v>#VALUE!</v>
      </c>
      <c r="G31" t="s">
        <v>18</v>
      </c>
      <c r="H31" s="39">
        <f>SUM(H24:H30)</f>
        <v>13804</v>
      </c>
      <c r="I31" s="36">
        <f>SUBTOTAL(109,I24:I30)</f>
        <v>12732</v>
      </c>
      <c r="J31" s="36">
        <f>SUM(J24:J30)</f>
        <v>16946</v>
      </c>
      <c r="K31" s="35">
        <f>SUM(Table13[[#This Row],[L2S Low Est]:[L2D Low Est]])</f>
        <v>43482</v>
      </c>
      <c r="L31" s="35">
        <f>SUM(L24:L30)</f>
        <v>165818</v>
      </c>
      <c r="M31" s="35"/>
      <c r="O31" s="35"/>
    </row>
    <row r="32" spans="2:15" ht="20.149999999999999" customHeight="1" x14ac:dyDescent="0.35">
      <c r="B32" s="7" t="s">
        <v>96</v>
      </c>
      <c r="C32" s="3" t="s">
        <v>97</v>
      </c>
      <c r="D32" s="12">
        <f>IF($C$11="Yes",200*C29,0)</f>
        <v>0</v>
      </c>
      <c r="E32" s="12">
        <f>IF($C$11="Yes",800*C29,0)</f>
        <v>0</v>
      </c>
      <c r="H32" s="36"/>
      <c r="I32" s="36"/>
      <c r="J32" s="35"/>
      <c r="K32" s="35"/>
      <c r="L32" s="35"/>
    </row>
    <row r="33" spans="2:14" ht="20.149999999999999" customHeight="1" x14ac:dyDescent="0.35">
      <c r="B33" s="7" t="s">
        <v>98</v>
      </c>
      <c r="C33" s="3" t="s">
        <v>97</v>
      </c>
      <c r="D33" s="12">
        <f>IF($C$12="Yes",500*C29,0)</f>
        <v>0</v>
      </c>
      <c r="E33" s="12">
        <f>IF($C$12="Yes",1500*C29,0)</f>
        <v>0</v>
      </c>
      <c r="H33" s="36"/>
      <c r="I33" s="36"/>
      <c r="J33" s="35"/>
      <c r="K33" s="35"/>
      <c r="L33" s="35"/>
    </row>
    <row r="34" spans="2:14" x14ac:dyDescent="0.35">
      <c r="B34" s="7" t="s">
        <v>100</v>
      </c>
      <c r="C34" s="3" t="s">
        <v>97</v>
      </c>
      <c r="D34" s="12">
        <f>IF($C$13="Yes",2500*$C$7,0)</f>
        <v>5000</v>
      </c>
      <c r="E34" s="12">
        <f>IF($C$13="Yes",10000*$C$7,0)</f>
        <v>20000</v>
      </c>
      <c r="H34" s="36"/>
      <c r="I34" s="36"/>
      <c r="J34" s="35"/>
      <c r="K34" s="35"/>
      <c r="L34" s="35"/>
    </row>
    <row r="35" spans="2:14" x14ac:dyDescent="0.35">
      <c r="B35" s="7" t="s">
        <v>101</v>
      </c>
      <c r="C35" s="3" t="s">
        <v>102</v>
      </c>
      <c r="D35" s="12">
        <f>IF(ISBLANK(C35),0, IF($C$14="a. Fleet only",0,1200*$C$7))</f>
        <v>2400</v>
      </c>
      <c r="E35" s="12">
        <f>IF(ISBLANK(C35),0,IF($C$14="a. Fleet only",0,2200*$C$7))</f>
        <v>4400</v>
      </c>
      <c r="K35" s="36"/>
    </row>
    <row r="36" spans="2:14" x14ac:dyDescent="0.35">
      <c r="B36" s="7" t="s">
        <v>104</v>
      </c>
      <c r="C36" s="3" t="s">
        <v>97</v>
      </c>
      <c r="D36" s="12">
        <f>IF($C$15="Yes",800*C28,0)</f>
        <v>1600</v>
      </c>
      <c r="E36" s="12">
        <f>IF($C$15="Yes",2500*C28,0)</f>
        <v>5000</v>
      </c>
      <c r="K36" s="36"/>
    </row>
    <row r="37" spans="2:14" x14ac:dyDescent="0.35">
      <c r="B37" s="7" t="s">
        <v>107</v>
      </c>
      <c r="C37" s="3">
        <v>220</v>
      </c>
      <c r="D37" s="12"/>
      <c r="E37" s="12"/>
      <c r="K37" s="36"/>
    </row>
    <row r="38" spans="2:14" x14ac:dyDescent="0.35">
      <c r="B38" s="8" t="s">
        <v>69</v>
      </c>
      <c r="C38" s="9" t="str">
        <f>IFERROR("$"&amp;D38&amp;" - "&amp;"$"&amp;E38,"")</f>
        <v/>
      </c>
      <c r="D38" s="5" t="str">
        <f>IFERROR(SUMIF(D27:D37, "&lt;&gt;0"), "")</f>
        <v/>
      </c>
      <c r="E38" s="5" t="e">
        <f>SUM(E27:E37)</f>
        <v>#VALUE!</v>
      </c>
      <c r="K38" s="36"/>
    </row>
    <row r="39" spans="2:14" x14ac:dyDescent="0.35">
      <c r="C39" s="112"/>
      <c r="K39" s="36"/>
    </row>
    <row r="40" spans="2:14" x14ac:dyDescent="0.35">
      <c r="C40" s="112"/>
      <c r="K40" s="36"/>
    </row>
    <row r="41" spans="2:14" x14ac:dyDescent="0.35">
      <c r="C41" s="112"/>
      <c r="K41" s="36"/>
      <c r="L41" s="35"/>
      <c r="M41" s="35"/>
      <c r="N41" s="35"/>
    </row>
  </sheetData>
  <mergeCells count="21">
    <mergeCell ref="L15:L16"/>
    <mergeCell ref="H22:I22"/>
    <mergeCell ref="J22:K22"/>
    <mergeCell ref="L22:M22"/>
    <mergeCell ref="B23:C23"/>
    <mergeCell ref="G15:G16"/>
    <mergeCell ref="H15:H16"/>
    <mergeCell ref="I15:I16"/>
    <mergeCell ref="J15:J16"/>
    <mergeCell ref="K15:K16"/>
    <mergeCell ref="L3:L4"/>
    <mergeCell ref="M3:M4"/>
    <mergeCell ref="N3:N4"/>
    <mergeCell ref="O3:O4"/>
    <mergeCell ref="G12:O12"/>
    <mergeCell ref="K3:K4"/>
    <mergeCell ref="B2:C2"/>
    <mergeCell ref="G3:G4"/>
    <mergeCell ref="H3:H4"/>
    <mergeCell ref="I3:I4"/>
    <mergeCell ref="J3:J4"/>
  </mergeCells>
  <dataValidations count="14">
    <dataValidation type="list" allowBlank="1" showInputMessage="1" showErrorMessage="1" promptTitle="Prompt" prompt="Select a station type" sqref="C26" xr:uid="{28E11217-2C11-40A4-A3AA-8F5D47C037A5}">
      <formula1>"Level 1 Charger, Level 2 Charger - Single Head,  Level 2 Charger - Dual Head, Level 3 Charger"</formula1>
    </dataValidation>
    <dataValidation type="whole" allowBlank="1" showInputMessage="1" showErrorMessage="1" errorTitle="Number of Vehicles Error!" error="Make sure to enter the quantity between 1 - 25" prompt="Enter a qty between 1 - 25" sqref="L5:L10 H5:H11 I5:I10 H17:I19" xr:uid="{B480FFE8-D3E5-48D8-88A1-AA4DDFEDA652}">
      <formula1>1</formula1>
      <formula2>25</formula2>
    </dataValidation>
    <dataValidation type="list" allowBlank="1" showInputMessage="1" showErrorMessage="1" promptTitle="Electrical Engineering" prompt="Typically yes for infrastructure upgrades" sqref="C13 C34" xr:uid="{EBD1E120-586F-4E2E-80A1-4CF3E363D198}">
      <formula1>"Yes, No"</formula1>
    </dataValidation>
    <dataValidation type="list" allowBlank="1" showInputMessage="1" showErrorMessage="1" prompt="Site security lighting desired?" sqref="C12 C33" xr:uid="{C4BD8E3F-2211-47FD-9FBF-396A62440285}">
      <formula1>"Yes, No"</formula1>
    </dataValidation>
    <dataValidation type="list" allowBlank="1" showInputMessage="1" showErrorMessage="1" prompt="EV Related signed desired?" sqref="C11 C32" xr:uid="{FFF6A800-1272-4477-B2C1-3ECF24F5FACF}">
      <formula1>"Yes, No"</formula1>
    </dataValidation>
    <dataValidation type="list" showInputMessage="1" showErrorMessage="1" prompt="Owned or Leased" sqref="C9 C30" xr:uid="{27F1AD0F-DF04-499C-8A11-2AF1F30DF445}">
      <formula1>"Owned, Leased"</formula1>
    </dataValidation>
    <dataValidation type="list" allowBlank="1" showInputMessage="1" showErrorMessage="1" prompt="Select hourly electrical rate" sqref="C16 C37" xr:uid="{E8E815F4-B03A-4B0C-A38C-87CDB4360A19}">
      <formula1>"100, 120, 140, 160, 180, 200, 220, 240, 260"</formula1>
    </dataValidation>
    <dataValidation type="list" allowBlank="1" showInputMessage="1" showErrorMessage="1" prompt="Select type" sqref="C14 C35" xr:uid="{72B1DAD1-6FB6-4D4C-A1FF-DB91C2523564}">
      <formula1>"a. Fleet only,b. Employee only (POV),c. Open to Public,d. Both a and b above"</formula1>
    </dataValidation>
    <dataValidation type="list" allowBlank="1" showInputMessage="1" showErrorMessage="1" prompt="EVSE Manufacturer Service Agreement" sqref="C15 C36" xr:uid="{61C76145-442A-4D49-9CD9-4BE3ED681F8C}">
      <formula1>"Yes, No"</formula1>
    </dataValidation>
    <dataValidation type="list" allowBlank="1" showInputMessage="1" showErrorMessage="1" prompt="Does capacity exist?" sqref="C10 C31" xr:uid="{A33D26D1-97B2-4103-A29F-0953C8EC8D86}">
      <formula1>"Capacity exists, Additional capacity needed"</formula1>
    </dataValidation>
    <dataValidation type="list" allowBlank="1" showInputMessage="1" showErrorMessage="1" promptTitle="Network" prompt="Select one" sqref="C6 C27" xr:uid="{7BF7960A-1CD2-4C6D-863A-6B4B142A7224}">
      <formula1>"Networked, Non-networked"</formula1>
    </dataValidation>
    <dataValidation type="list" allowBlank="1" showInputMessage="1" showErrorMessage="1" promptTitle="Prompt" prompt="Select a station type" sqref="C5" xr:uid="{143ABB0E-9300-4F6D-9ABA-C0E8E882C971}">
      <formula1>"Level 1 Charger, Level 2 Charger, Level 3 Charger"</formula1>
    </dataValidation>
    <dataValidation type="whole" allowBlank="1" showInputMessage="1" showErrorMessage="1" promptTitle="Heads" prompt="Enter a quantity between 0 and 40" sqref="C8 C29" xr:uid="{3C9C7849-D2BD-4F59-BFDE-998DC86FBF92}">
      <formula1>1</formula1>
      <formula2>40</formula2>
    </dataValidation>
    <dataValidation type="whole" allowBlank="1" showInputMessage="1" showErrorMessage="1" promptTitle="Stations" prompt="Enter a quantitry between 0 and 20" sqref="C7 C28" xr:uid="{65DA876B-9E8E-47F4-B822-E82130C03BD4}">
      <formula1>1</formula1>
      <formula2>20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5E844F472366438B43A47545189627" ma:contentTypeVersion="17" ma:contentTypeDescription="Create a new document." ma:contentTypeScope="" ma:versionID="53f58c142a1cae03eced0552b1b49824">
  <xsd:schema xmlns:xsd="http://www.w3.org/2001/XMLSchema" xmlns:xs="http://www.w3.org/2001/XMLSchema" xmlns:p="http://schemas.microsoft.com/office/2006/metadata/properties" xmlns:ns1="http://schemas.microsoft.com/sharepoint/v3" xmlns:ns2="48ef53c4-59ee-4682-aac1-baf89e197cd5" xmlns:ns3="89769d80-d42b-4f9c-b829-c0de57d777e5" targetNamespace="http://schemas.microsoft.com/office/2006/metadata/properties" ma:root="true" ma:fieldsID="65579111ac61015d1acd8cb9a7f706da" ns1:_="" ns2:_="" ns3:_="">
    <xsd:import namespace="http://schemas.microsoft.com/sharepoint/v3"/>
    <xsd:import namespace="48ef53c4-59ee-4682-aac1-baf89e197cd5"/>
    <xsd:import namespace="89769d80-d42b-4f9c-b829-c0de57d77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f53c4-59ee-4682-aac1-baf89e197c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69d80-d42b-4f9c-b829-c0de57d77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d0a8a00-08bc-4f07-b8df-2f60c0caebe2}" ma:internalName="TaxCatchAll" ma:showField="CatchAllData" ma:web="89769d80-d42b-4f9c-b829-c0de57d777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769d80-d42b-4f9c-b829-c0de57d777e5" xsi:nil="true"/>
    <lcf76f155ced4ddcb4097134ff3c332f xmlns="48ef53c4-59ee-4682-aac1-baf89e197cd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59C241-D19D-4EE5-8CB9-5A0BE1BA81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60667-AD7B-478B-AF48-C9826BA96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ef53c4-59ee-4682-aac1-baf89e197cd5"/>
    <ds:schemaRef ds:uri="89769d80-d42b-4f9c-b829-c0de57d77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A2D686-6733-41F5-A024-DB1C96763F0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0682D20-7337-4BE4-A8BB-8041E369D359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9769d80-d42b-4f9c-b829-c0de57d777e5"/>
    <ds:schemaRef ds:uri="48ef53c4-59ee-4682-aac1-baf89e197cd5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EVSE</vt:lpstr>
      <vt:lpstr>EV</vt:lpstr>
      <vt:lpstr>EV &amp; EVSE Cost Estimator OLD</vt:lpstr>
    </vt:vector>
  </TitlesOfParts>
  <Manager/>
  <Company>Department of Enterprise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Appadurai, Jeyakumar (DES)</dc:creator>
  <cp:keywords/>
  <dc:description/>
  <cp:lastModifiedBy>Reynolds, Jennifer (DES)</cp:lastModifiedBy>
  <cp:revision/>
  <dcterms:created xsi:type="dcterms:W3CDTF">2023-06-09T01:10:28Z</dcterms:created>
  <dcterms:modified xsi:type="dcterms:W3CDTF">2024-04-11T21:59:50Z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0x010100275E844F472366438B43A47545189627</vt:lpwstr>
  </property>
  <property fmtid="{D5CDD505-2E9C-101B-9397-08002B2CF9AE}" pid="3" name="MediaServiceImageTags">
    <vt:lpwstr/>
  </property>
</Properties>
</file>